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2.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iac.nas.gatech.edu\ehyman3\Administrative Professional I\Dr. Brown\Projects\CEPL\Articles\Projects\Expanded Capacity for Modeling Energy Efficiency in the Southeast\"/>
    </mc:Choice>
  </mc:AlternateContent>
  <bookViews>
    <workbookView xWindow="0" yWindow="0" windowWidth="12435" windowHeight="10260" tabRatio="801"/>
  </bookViews>
  <sheets>
    <sheet name="Title" sheetId="15" r:id="rId1"/>
    <sheet name="Customer Sector" sheetId="1" r:id="rId2"/>
    <sheet name="Customer Calc" sheetId="3" r:id="rId3"/>
    <sheet name="Customer Outputs" sheetId="6" r:id="rId4"/>
    <sheet name="Utility Sector" sheetId="8" r:id="rId5"/>
    <sheet name="Utility Calc" sheetId="7" r:id="rId6"/>
    <sheet name="Utility Outputs" sheetId="9" r:id="rId7"/>
    <sheet name="CBA Sector" sheetId="14" r:id="rId8"/>
    <sheet name="CBA Calc" sheetId="10" r:id="rId9"/>
    <sheet name="CBA Outputs" sheetId="13" r:id="rId10"/>
  </sheets>
  <externalReferences>
    <externalReference r:id="rId11"/>
    <externalReference r:id="rId12"/>
    <externalReference r:id="rId13"/>
    <externalReference r:id="rId14"/>
    <externalReference r:id="rId15"/>
    <externalReference r:id="rId16"/>
  </externalReferences>
  <definedNames>
    <definedName name="BCR_Activity">NA()</definedName>
    <definedName name="capital_recovery_factor_elec">'[1]Cost of Saved Energy'!$C$9</definedName>
    <definedName name="disc_rate_high">'[2]Long-Term BI'!#REF!</definedName>
    <definedName name="disc_rate_low">'[2]Long-Term BI'!#REF!</definedName>
    <definedName name="disc_rate_zero">'[2]Long-Term BI'!#REF!</definedName>
    <definedName name="discount_rate">'[1]Cost of Saved Energy'!$C$7</definedName>
    <definedName name="Efuel_inf">[3]Step1!$B$26</definedName>
    <definedName name="electricFlag">[3]Step1!$B$4</definedName>
    <definedName name="End_Use">NA()</definedName>
    <definedName name="Enonfuel_inf">[3]Step1!$B$61</definedName>
    <definedName name="gasFlag">[3]Step1!$B$5</definedName>
    <definedName name="gasmuniRateType">[3]Step1!$E$99</definedName>
    <definedName name="Gnonfuel_inf">[3]Step1!#REF!</definedName>
    <definedName name="INDEMISELEC">[4]INDEMISELEC!#REF!</definedName>
    <definedName name="Inf_Rate">[5]Input!$D$13</definedName>
    <definedName name="Inflation">#REF!</definedName>
    <definedName name="Inflation_3">'[2]Rate Adjustments'!#REF!</definedName>
    <definedName name="loadshape">NA()</definedName>
    <definedName name="LossesToAvCos">#REF!</definedName>
    <definedName name="LossesToAvCos_3">'[2]Rate Adjustments'!#REF!</definedName>
    <definedName name="LossesToGen">#REF!</definedName>
    <definedName name="LossesToGen_3">'[2]Rate Adjustments'!#REF!</definedName>
    <definedName name="measure_life">'[1]Cost of Saved Energy'!$C$8</definedName>
    <definedName name="Million">1000000</definedName>
    <definedName name="muniRateType">[3]Step1!$B$99</definedName>
    <definedName name="Program">NA()</definedName>
    <definedName name="RDR">'[6]Avoided Costs'!$D$13</definedName>
    <definedName name="Sector">NA()</definedName>
    <definedName name="Thousand">1000</definedName>
    <definedName name="utilityType">[3]Step1!$B$3</definedName>
  </definedNames>
  <calcPr calcId="152511" concurrentCalc="0"/>
  <customWorkbookViews>
    <customWorkbookView name="Two Windows" guid="{447083F4-BDC7-8B4E-AE38-EA87A68C242D}" yWindow="54" windowWidth="743" windowHeight="689" tabRatio="500"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N9" i="3" l="1"/>
  <c r="AN63" i="3"/>
  <c r="AM57" i="3"/>
  <c r="AM58" i="3"/>
  <c r="AN58" i="3"/>
  <c r="H19" i="7"/>
  <c r="H23" i="7"/>
  <c r="H9" i="3"/>
  <c r="H63" i="3"/>
  <c r="G57" i="3"/>
  <c r="G58" i="3"/>
  <c r="H58" i="3"/>
  <c r="H10" i="7"/>
  <c r="H14" i="7"/>
  <c r="H25" i="7"/>
  <c r="AO9" i="3"/>
  <c r="AO63" i="3"/>
  <c r="AO58" i="3"/>
  <c r="I19" i="7"/>
  <c r="I23" i="7"/>
  <c r="I9" i="3"/>
  <c r="I63" i="3"/>
  <c r="I58" i="3"/>
  <c r="I10" i="7"/>
  <c r="I14" i="7"/>
  <c r="I25" i="7"/>
  <c r="AP9" i="3"/>
  <c r="AP63" i="3"/>
  <c r="AP58" i="3"/>
  <c r="J19" i="7"/>
  <c r="J23" i="7"/>
  <c r="J9" i="3"/>
  <c r="J63" i="3"/>
  <c r="J58" i="3"/>
  <c r="J10" i="7"/>
  <c r="J14" i="7"/>
  <c r="J25" i="7"/>
  <c r="AQ9" i="3"/>
  <c r="AQ63" i="3"/>
  <c r="AQ58" i="3"/>
  <c r="K19" i="7"/>
  <c r="K23" i="7"/>
  <c r="K9" i="3"/>
  <c r="K63" i="3"/>
  <c r="K58" i="3"/>
  <c r="K10" i="7"/>
  <c r="K14" i="7"/>
  <c r="K25" i="7"/>
  <c r="AR9" i="3"/>
  <c r="AR63" i="3"/>
  <c r="AR58" i="3"/>
  <c r="L19" i="7"/>
  <c r="L23" i="7"/>
  <c r="L9" i="3"/>
  <c r="L63" i="3"/>
  <c r="L58" i="3"/>
  <c r="L10" i="7"/>
  <c r="L14" i="7"/>
  <c r="L25" i="7"/>
  <c r="AS9" i="3"/>
  <c r="AS63" i="3"/>
  <c r="AS58" i="3"/>
  <c r="M19" i="7"/>
  <c r="M23" i="7"/>
  <c r="M9" i="3"/>
  <c r="M63" i="3"/>
  <c r="M58" i="3"/>
  <c r="M10" i="7"/>
  <c r="M14" i="7"/>
  <c r="M25" i="7"/>
  <c r="AT9" i="3"/>
  <c r="AT63" i="3"/>
  <c r="AT58" i="3"/>
  <c r="N19" i="7"/>
  <c r="N23" i="7"/>
  <c r="N9" i="3"/>
  <c r="N63" i="3"/>
  <c r="N58" i="3"/>
  <c r="N10" i="7"/>
  <c r="N14" i="7"/>
  <c r="N25" i="7"/>
  <c r="AU9" i="3"/>
  <c r="AU63" i="3"/>
  <c r="AU58" i="3"/>
  <c r="O19" i="7"/>
  <c r="O23" i="7"/>
  <c r="O9" i="3"/>
  <c r="O63" i="3"/>
  <c r="O58" i="3"/>
  <c r="O10" i="7"/>
  <c r="O14" i="7"/>
  <c r="O25" i="7"/>
  <c r="AV9" i="3"/>
  <c r="AV63" i="3"/>
  <c r="AV58" i="3"/>
  <c r="P19" i="7"/>
  <c r="P23" i="7"/>
  <c r="P9" i="3"/>
  <c r="P63" i="3"/>
  <c r="P58" i="3"/>
  <c r="P10" i="7"/>
  <c r="P14" i="7"/>
  <c r="P25" i="7"/>
  <c r="AW9" i="3"/>
  <c r="AW63" i="3"/>
  <c r="AW58" i="3"/>
  <c r="Q19" i="7"/>
  <c r="Q23" i="7"/>
  <c r="Q9" i="3"/>
  <c r="Q63" i="3"/>
  <c r="Q58" i="3"/>
  <c r="Q10" i="7"/>
  <c r="Q14" i="7"/>
  <c r="Q25" i="7"/>
  <c r="AX63" i="3"/>
  <c r="AX58" i="3"/>
  <c r="R19" i="7"/>
  <c r="R23" i="7"/>
  <c r="R63" i="3"/>
  <c r="R58" i="3"/>
  <c r="R10" i="7"/>
  <c r="R14" i="7"/>
  <c r="R25" i="7"/>
  <c r="AY63" i="3"/>
  <c r="AY58" i="3"/>
  <c r="S19" i="7"/>
  <c r="S23" i="7"/>
  <c r="S63" i="3"/>
  <c r="S58" i="3"/>
  <c r="S10" i="7"/>
  <c r="S14" i="7"/>
  <c r="S25" i="7"/>
  <c r="AZ63" i="3"/>
  <c r="AZ58" i="3"/>
  <c r="T19" i="7"/>
  <c r="T23" i="7"/>
  <c r="T63" i="3"/>
  <c r="T58" i="3"/>
  <c r="T10" i="7"/>
  <c r="T14" i="7"/>
  <c r="T25" i="7"/>
  <c r="BA63" i="3"/>
  <c r="BA58" i="3"/>
  <c r="U19" i="7"/>
  <c r="U23" i="7"/>
  <c r="U63" i="3"/>
  <c r="U58" i="3"/>
  <c r="U10" i="7"/>
  <c r="U14" i="7"/>
  <c r="U25" i="7"/>
  <c r="BB63" i="3"/>
  <c r="BB58" i="3"/>
  <c r="V19" i="7"/>
  <c r="V23" i="7"/>
  <c r="V63" i="3"/>
  <c r="V58" i="3"/>
  <c r="V10" i="7"/>
  <c r="V14" i="7"/>
  <c r="V25" i="7"/>
  <c r="BC63" i="3"/>
  <c r="BC58" i="3"/>
  <c r="W19" i="7"/>
  <c r="W23" i="7"/>
  <c r="W63" i="3"/>
  <c r="W58" i="3"/>
  <c r="W10" i="7"/>
  <c r="W14" i="7"/>
  <c r="W25" i="7"/>
  <c r="BD63" i="3"/>
  <c r="BD58" i="3"/>
  <c r="X19" i="7"/>
  <c r="X23" i="7"/>
  <c r="X63" i="3"/>
  <c r="X58" i="3"/>
  <c r="X10" i="7"/>
  <c r="X14" i="7"/>
  <c r="X25" i="7"/>
  <c r="BE63" i="3"/>
  <c r="BE58" i="3"/>
  <c r="Y19" i="7"/>
  <c r="Y23" i="7"/>
  <c r="Y63" i="3"/>
  <c r="Y58" i="3"/>
  <c r="Y10" i="7"/>
  <c r="Y14" i="7"/>
  <c r="Y25" i="7"/>
  <c r="BF63" i="3"/>
  <c r="BF58" i="3"/>
  <c r="Z19" i="7"/>
  <c r="Z23" i="7"/>
  <c r="Z63" i="3"/>
  <c r="Z58" i="3"/>
  <c r="Z10" i="7"/>
  <c r="Z14" i="7"/>
  <c r="Z25" i="7"/>
  <c r="BG63" i="3"/>
  <c r="BG58" i="3"/>
  <c r="AA19" i="7"/>
  <c r="AA23" i="7"/>
  <c r="AA63" i="3"/>
  <c r="AA58" i="3"/>
  <c r="AA10" i="7"/>
  <c r="AA14" i="7"/>
  <c r="AA25" i="7"/>
  <c r="BH63" i="3"/>
  <c r="BH58" i="3"/>
  <c r="AB19" i="7"/>
  <c r="AB23" i="7"/>
  <c r="AB63" i="3"/>
  <c r="AB58" i="3"/>
  <c r="AB10" i="7"/>
  <c r="AB14" i="7"/>
  <c r="AB25" i="7"/>
  <c r="BI63" i="3"/>
  <c r="BI58" i="3"/>
  <c r="AC19" i="7"/>
  <c r="AC23" i="7"/>
  <c r="AC63" i="3"/>
  <c r="AC58" i="3"/>
  <c r="AC10" i="7"/>
  <c r="AC14" i="7"/>
  <c r="AC25" i="7"/>
  <c r="BJ63" i="3"/>
  <c r="BJ58" i="3"/>
  <c r="AD19" i="7"/>
  <c r="AD23" i="7"/>
  <c r="AD63" i="3"/>
  <c r="AD58" i="3"/>
  <c r="AD10" i="7"/>
  <c r="AD14" i="7"/>
  <c r="AD25" i="7"/>
  <c r="BK63" i="3"/>
  <c r="BK58" i="3"/>
  <c r="AE19" i="7"/>
  <c r="AE23" i="7"/>
  <c r="AE63" i="3"/>
  <c r="AE58" i="3"/>
  <c r="AE10" i="7"/>
  <c r="AE14" i="7"/>
  <c r="AE25" i="7"/>
  <c r="BL63" i="3"/>
  <c r="BL58" i="3"/>
  <c r="AF19" i="7"/>
  <c r="AF23" i="7"/>
  <c r="AF63" i="3"/>
  <c r="AF58" i="3"/>
  <c r="AF10" i="7"/>
  <c r="AF14" i="7"/>
  <c r="AF25" i="7"/>
  <c r="H57" i="3"/>
  <c r="I57" i="3"/>
  <c r="J57" i="3"/>
  <c r="K57" i="3"/>
  <c r="L57" i="3"/>
  <c r="M57" i="3"/>
  <c r="N57" i="3"/>
  <c r="N7" i="7"/>
  <c r="N13" i="7"/>
  <c r="AN57" i="3"/>
  <c r="AO57" i="3"/>
  <c r="AP57" i="3"/>
  <c r="AQ57" i="3"/>
  <c r="AR57" i="3"/>
  <c r="AS57" i="3"/>
  <c r="AT57" i="3"/>
  <c r="N16" i="7"/>
  <c r="N22" i="7"/>
  <c r="N24" i="7"/>
  <c r="G117" i="7"/>
  <c r="G10" i="7"/>
  <c r="G14" i="7"/>
  <c r="G19" i="7"/>
  <c r="G23" i="7"/>
  <c r="G25" i="7"/>
  <c r="G119" i="7"/>
  <c r="G120" i="7"/>
  <c r="G122" i="7"/>
  <c r="G157" i="7"/>
  <c r="O57" i="3"/>
  <c r="P57" i="3"/>
  <c r="Q57" i="3"/>
  <c r="R57" i="3"/>
  <c r="S57" i="3"/>
  <c r="T57" i="3"/>
  <c r="U57" i="3"/>
  <c r="V57" i="3"/>
  <c r="W57" i="3"/>
  <c r="X57" i="3"/>
  <c r="X7" i="7"/>
  <c r="X13" i="7"/>
  <c r="AU57" i="3"/>
  <c r="AV57" i="3"/>
  <c r="AW57" i="3"/>
  <c r="AX57" i="3"/>
  <c r="AY57" i="3"/>
  <c r="AZ57" i="3"/>
  <c r="BA57" i="3"/>
  <c r="BB57" i="3"/>
  <c r="BC57" i="3"/>
  <c r="BD57" i="3"/>
  <c r="X16" i="7"/>
  <c r="X22" i="7"/>
  <c r="X24" i="7"/>
  <c r="G125" i="7"/>
  <c r="G127" i="7"/>
  <c r="G128" i="7"/>
  <c r="G130" i="7"/>
  <c r="G158" i="7"/>
  <c r="Y57" i="3"/>
  <c r="Z57" i="3"/>
  <c r="AA57" i="3"/>
  <c r="AB57" i="3"/>
  <c r="AC57" i="3"/>
  <c r="AD57" i="3"/>
  <c r="AD7" i="7"/>
  <c r="AD13" i="7"/>
  <c r="BE57" i="3"/>
  <c r="BF57" i="3"/>
  <c r="BG57" i="3"/>
  <c r="BH57" i="3"/>
  <c r="BI57" i="3"/>
  <c r="BJ57" i="3"/>
  <c r="AD16" i="7"/>
  <c r="AD22" i="7"/>
  <c r="AD24" i="7"/>
  <c r="G133" i="7"/>
  <c r="G135" i="7"/>
  <c r="G136" i="7"/>
  <c r="G138" i="7"/>
  <c r="G159" i="7"/>
  <c r="G141" i="7"/>
  <c r="G143" i="7"/>
  <c r="G144" i="7"/>
  <c r="G145" i="7"/>
  <c r="I72" i="8"/>
  <c r="G146" i="7"/>
  <c r="G160" i="7"/>
  <c r="G149" i="7"/>
  <c r="G151" i="7"/>
  <c r="G152" i="7"/>
  <c r="G153" i="7"/>
  <c r="I77" i="8"/>
  <c r="G154" i="7"/>
  <c r="G161" i="7"/>
  <c r="G40" i="7"/>
  <c r="G121" i="7"/>
  <c r="H121" i="7"/>
  <c r="H122" i="7"/>
  <c r="H157" i="7"/>
  <c r="G129" i="7"/>
  <c r="H129" i="7"/>
  <c r="H130" i="7"/>
  <c r="H158" i="7"/>
  <c r="G137" i="7"/>
  <c r="H137" i="7"/>
  <c r="H138" i="7"/>
  <c r="H159" i="7"/>
  <c r="H145" i="7"/>
  <c r="J72" i="8"/>
  <c r="H146" i="7"/>
  <c r="H160" i="7"/>
  <c r="H153" i="7"/>
  <c r="J77" i="8"/>
  <c r="H154" i="7"/>
  <c r="H161" i="7"/>
  <c r="H40" i="7"/>
  <c r="G39" i="7"/>
  <c r="H47" i="7"/>
  <c r="G47" i="7"/>
  <c r="G49" i="7"/>
  <c r="H49" i="7"/>
  <c r="H50" i="7"/>
  <c r="G51" i="7"/>
  <c r="H51" i="7"/>
  <c r="H52" i="7"/>
  <c r="H39" i="7"/>
  <c r="E19" i="8"/>
  <c r="H41" i="7"/>
  <c r="H42" i="7"/>
  <c r="H43" i="7"/>
  <c r="H44" i="7"/>
  <c r="H45" i="7"/>
  <c r="H48" i="7"/>
  <c r="G46" i="7"/>
  <c r="H46" i="7"/>
  <c r="H53" i="7"/>
  <c r="G34" i="3"/>
  <c r="G35" i="3"/>
  <c r="G43" i="3"/>
  <c r="G41" i="7"/>
  <c r="G42" i="7"/>
  <c r="G43" i="7"/>
  <c r="G44" i="7"/>
  <c r="G45" i="7"/>
  <c r="G48" i="7"/>
  <c r="G53" i="7"/>
  <c r="H43" i="3"/>
  <c r="H27" i="3"/>
  <c r="G42" i="3"/>
  <c r="H42" i="3"/>
  <c r="H26" i="3"/>
  <c r="H25" i="3"/>
  <c r="G89" i="3"/>
  <c r="G88" i="3"/>
  <c r="H24" i="3"/>
  <c r="AM29" i="3"/>
  <c r="L13" i="1"/>
  <c r="AM60" i="3"/>
  <c r="AM44" i="3"/>
  <c r="AM43" i="3"/>
  <c r="AN43" i="3"/>
  <c r="AN27" i="3"/>
  <c r="L41" i="1"/>
  <c r="AM42" i="3"/>
  <c r="L42" i="1"/>
  <c r="AN42" i="3"/>
  <c r="AN26" i="3"/>
  <c r="AN25" i="3"/>
  <c r="AM89" i="3"/>
  <c r="AM88" i="3"/>
  <c r="AN24" i="3"/>
  <c r="H61" i="7"/>
  <c r="G28" i="7"/>
  <c r="H28" i="7"/>
  <c r="F13" i="1"/>
  <c r="F71" i="1"/>
  <c r="G136" i="3"/>
  <c r="H136" i="3"/>
  <c r="H8" i="7"/>
  <c r="L71" i="1"/>
  <c r="L70" i="1"/>
  <c r="AM131" i="3"/>
  <c r="AM136" i="3"/>
  <c r="AN136" i="3"/>
  <c r="H17" i="7"/>
  <c r="G29" i="7"/>
  <c r="H29" i="7"/>
  <c r="G135" i="3"/>
  <c r="G137" i="3"/>
  <c r="H137" i="3"/>
  <c r="H9" i="7"/>
  <c r="AM130" i="3"/>
  <c r="AM132" i="3"/>
  <c r="AM137" i="3"/>
  <c r="AN137" i="3"/>
  <c r="H18" i="7"/>
  <c r="H7" i="7"/>
  <c r="H16" i="7"/>
  <c r="H31" i="7"/>
  <c r="H32" i="7"/>
  <c r="H60" i="7"/>
  <c r="H59" i="7"/>
  <c r="H66" i="7"/>
  <c r="I121" i="7"/>
  <c r="I122" i="7"/>
  <c r="I157" i="7"/>
  <c r="I129" i="7"/>
  <c r="I130" i="7"/>
  <c r="I158" i="7"/>
  <c r="I137" i="7"/>
  <c r="I138" i="7"/>
  <c r="I159" i="7"/>
  <c r="I145" i="7"/>
  <c r="K72" i="8"/>
  <c r="I146" i="7"/>
  <c r="I160" i="7"/>
  <c r="I153" i="7"/>
  <c r="K77" i="8"/>
  <c r="I154" i="7"/>
  <c r="I161" i="7"/>
  <c r="I40" i="7"/>
  <c r="I47" i="7"/>
  <c r="I49" i="7"/>
  <c r="I50" i="7"/>
  <c r="I51" i="7"/>
  <c r="I52" i="7"/>
  <c r="I39" i="7"/>
  <c r="I41" i="7"/>
  <c r="I42" i="7"/>
  <c r="I43" i="7"/>
  <c r="I44" i="7"/>
  <c r="I45" i="7"/>
  <c r="I48" i="7"/>
  <c r="I46" i="7"/>
  <c r="I53" i="7"/>
  <c r="I43" i="3"/>
  <c r="I27" i="3"/>
  <c r="I42" i="3"/>
  <c r="I26" i="3"/>
  <c r="I25" i="3"/>
  <c r="H89" i="3"/>
  <c r="H88" i="3"/>
  <c r="I24" i="3"/>
  <c r="AO43" i="3"/>
  <c r="AO27" i="3"/>
  <c r="AO42" i="3"/>
  <c r="AO26" i="3"/>
  <c r="AO25" i="3"/>
  <c r="AN89" i="3"/>
  <c r="AN88" i="3"/>
  <c r="AO24" i="3"/>
  <c r="I61" i="7"/>
  <c r="I28" i="7"/>
  <c r="I136" i="3"/>
  <c r="I8" i="7"/>
  <c r="AO136" i="3"/>
  <c r="I17" i="7"/>
  <c r="I29" i="7"/>
  <c r="I137" i="3"/>
  <c r="I9" i="7"/>
  <c r="AO137" i="3"/>
  <c r="I18" i="7"/>
  <c r="I7" i="7"/>
  <c r="I16" i="7"/>
  <c r="I31" i="7"/>
  <c r="I32" i="7"/>
  <c r="I60" i="7"/>
  <c r="I59" i="7"/>
  <c r="I66" i="7"/>
  <c r="J121" i="7"/>
  <c r="J122" i="7"/>
  <c r="J157" i="7"/>
  <c r="J129" i="7"/>
  <c r="J130" i="7"/>
  <c r="J158" i="7"/>
  <c r="J137" i="7"/>
  <c r="I67" i="8"/>
  <c r="J138" i="7"/>
  <c r="J159" i="7"/>
  <c r="J145" i="7"/>
  <c r="L72" i="8"/>
  <c r="J146" i="7"/>
  <c r="J160" i="7"/>
  <c r="J153" i="7"/>
  <c r="L77" i="8"/>
  <c r="J154" i="7"/>
  <c r="J161" i="7"/>
  <c r="J40" i="7"/>
  <c r="J47" i="7"/>
  <c r="J49" i="7"/>
  <c r="J50" i="7"/>
  <c r="J51" i="7"/>
  <c r="J52" i="7"/>
  <c r="J39" i="7"/>
  <c r="J41" i="7"/>
  <c r="J42" i="7"/>
  <c r="J43" i="7"/>
  <c r="J44" i="7"/>
  <c r="J45" i="7"/>
  <c r="J48" i="7"/>
  <c r="J46" i="7"/>
  <c r="J53" i="7"/>
  <c r="J43" i="3"/>
  <c r="J27" i="3"/>
  <c r="J42" i="3"/>
  <c r="J26" i="3"/>
  <c r="J25" i="3"/>
  <c r="I89" i="3"/>
  <c r="I88" i="3"/>
  <c r="J24" i="3"/>
  <c r="AP43" i="3"/>
  <c r="AP27" i="3"/>
  <c r="AP42" i="3"/>
  <c r="AP26" i="3"/>
  <c r="AP25" i="3"/>
  <c r="AO89" i="3"/>
  <c r="AO88" i="3"/>
  <c r="AP24" i="3"/>
  <c r="J61" i="7"/>
  <c r="J28" i="7"/>
  <c r="J136" i="3"/>
  <c r="J8" i="7"/>
  <c r="AP136" i="3"/>
  <c r="J17" i="7"/>
  <c r="J29" i="7"/>
  <c r="J137" i="3"/>
  <c r="J9" i="7"/>
  <c r="AP137" i="3"/>
  <c r="J18" i="7"/>
  <c r="J7" i="7"/>
  <c r="J16" i="7"/>
  <c r="J31" i="7"/>
  <c r="J32" i="7"/>
  <c r="J60" i="7"/>
  <c r="J59" i="7"/>
  <c r="J66" i="7"/>
  <c r="K121" i="7"/>
  <c r="I57" i="8"/>
  <c r="K122" i="7"/>
  <c r="K157" i="7"/>
  <c r="K129" i="7"/>
  <c r="I62" i="8"/>
  <c r="K130" i="7"/>
  <c r="K158" i="7"/>
  <c r="K137" i="7"/>
  <c r="J67" i="8"/>
  <c r="K138" i="7"/>
  <c r="K159" i="7"/>
  <c r="K145" i="7"/>
  <c r="M72" i="8"/>
  <c r="K146" i="7"/>
  <c r="K160" i="7"/>
  <c r="K153" i="7"/>
  <c r="M77" i="8"/>
  <c r="K154" i="7"/>
  <c r="K161" i="7"/>
  <c r="K40" i="7"/>
  <c r="K47" i="7"/>
  <c r="K49" i="7"/>
  <c r="K50" i="7"/>
  <c r="K51" i="7"/>
  <c r="K52" i="7"/>
  <c r="K39" i="7"/>
  <c r="K41" i="7"/>
  <c r="K42" i="7"/>
  <c r="K43" i="7"/>
  <c r="K44" i="7"/>
  <c r="K45" i="7"/>
  <c r="K48" i="7"/>
  <c r="K46" i="7"/>
  <c r="K53" i="7"/>
  <c r="K43" i="3"/>
  <c r="K27" i="3"/>
  <c r="K42" i="3"/>
  <c r="K26" i="3"/>
  <c r="K25" i="3"/>
  <c r="J89" i="3"/>
  <c r="J88" i="3"/>
  <c r="K24" i="3"/>
  <c r="AQ43" i="3"/>
  <c r="AQ27" i="3"/>
  <c r="AQ42" i="3"/>
  <c r="AQ26" i="3"/>
  <c r="AQ25" i="3"/>
  <c r="AP89" i="3"/>
  <c r="AP88" i="3"/>
  <c r="AQ24" i="3"/>
  <c r="K61" i="7"/>
  <c r="K28" i="7"/>
  <c r="K136" i="3"/>
  <c r="K8" i="7"/>
  <c r="AQ136" i="3"/>
  <c r="K17" i="7"/>
  <c r="K29" i="7"/>
  <c r="K137" i="3"/>
  <c r="K9" i="7"/>
  <c r="AQ137" i="3"/>
  <c r="K18" i="7"/>
  <c r="K7" i="7"/>
  <c r="K16" i="7"/>
  <c r="K31" i="7"/>
  <c r="K32" i="7"/>
  <c r="K60" i="7"/>
  <c r="K59" i="7"/>
  <c r="K66" i="7"/>
  <c r="L121" i="7"/>
  <c r="J57" i="8"/>
  <c r="L122" i="7"/>
  <c r="L157" i="7"/>
  <c r="L129" i="7"/>
  <c r="J62" i="8"/>
  <c r="L130" i="7"/>
  <c r="L158" i="7"/>
  <c r="L137" i="7"/>
  <c r="K67" i="8"/>
  <c r="L138" i="7"/>
  <c r="L159" i="7"/>
  <c r="L145" i="7"/>
  <c r="N72" i="8"/>
  <c r="L146" i="7"/>
  <c r="L160" i="7"/>
  <c r="L153" i="7"/>
  <c r="N77" i="8"/>
  <c r="L154" i="7"/>
  <c r="L161" i="7"/>
  <c r="L40" i="7"/>
  <c r="L47" i="7"/>
  <c r="L49" i="7"/>
  <c r="L50" i="7"/>
  <c r="L51" i="7"/>
  <c r="L52" i="7"/>
  <c r="L39" i="7"/>
  <c r="L41" i="7"/>
  <c r="L42" i="7"/>
  <c r="L43" i="7"/>
  <c r="L44" i="7"/>
  <c r="L45" i="7"/>
  <c r="L48" i="7"/>
  <c r="L46" i="7"/>
  <c r="L53" i="7"/>
  <c r="L43" i="3"/>
  <c r="L27" i="3"/>
  <c r="L42" i="3"/>
  <c r="L26" i="3"/>
  <c r="L25" i="3"/>
  <c r="K89" i="3"/>
  <c r="K88" i="3"/>
  <c r="L24" i="3"/>
  <c r="AR43" i="3"/>
  <c r="AR27" i="3"/>
  <c r="AR42" i="3"/>
  <c r="AR26" i="3"/>
  <c r="AR25" i="3"/>
  <c r="AQ89" i="3"/>
  <c r="AQ88" i="3"/>
  <c r="AR24" i="3"/>
  <c r="L61" i="7"/>
  <c r="L28" i="7"/>
  <c r="L136" i="3"/>
  <c r="L8" i="7"/>
  <c r="AR136" i="3"/>
  <c r="L17" i="7"/>
  <c r="L29" i="7"/>
  <c r="L137" i="3"/>
  <c r="L9" i="7"/>
  <c r="AR137" i="3"/>
  <c r="L18" i="7"/>
  <c r="L7" i="7"/>
  <c r="L16" i="7"/>
  <c r="L31" i="7"/>
  <c r="L32" i="7"/>
  <c r="L60" i="7"/>
  <c r="L59" i="7"/>
  <c r="L66" i="7"/>
  <c r="M121" i="7"/>
  <c r="K57" i="8"/>
  <c r="M122" i="7"/>
  <c r="M157" i="7"/>
  <c r="M129" i="7"/>
  <c r="K62" i="8"/>
  <c r="M130" i="7"/>
  <c r="M158" i="7"/>
  <c r="M137" i="7"/>
  <c r="L67" i="8"/>
  <c r="M138" i="7"/>
  <c r="M159" i="7"/>
  <c r="M145" i="7"/>
  <c r="O72" i="8"/>
  <c r="M146" i="7"/>
  <c r="M160" i="7"/>
  <c r="M153" i="7"/>
  <c r="O77" i="8"/>
  <c r="M154" i="7"/>
  <c r="M161" i="7"/>
  <c r="M40" i="7"/>
  <c r="M47" i="7"/>
  <c r="M49" i="7"/>
  <c r="M50" i="7"/>
  <c r="M51" i="7"/>
  <c r="M52" i="7"/>
  <c r="M39" i="7"/>
  <c r="M41" i="7"/>
  <c r="M42" i="7"/>
  <c r="M43" i="7"/>
  <c r="M44" i="7"/>
  <c r="M45" i="7"/>
  <c r="M48" i="7"/>
  <c r="M46" i="7"/>
  <c r="M53" i="7"/>
  <c r="M43" i="3"/>
  <c r="M27" i="3"/>
  <c r="M42" i="3"/>
  <c r="M26" i="3"/>
  <c r="M25" i="3"/>
  <c r="L89" i="3"/>
  <c r="L88" i="3"/>
  <c r="M24" i="3"/>
  <c r="AS43" i="3"/>
  <c r="AS27" i="3"/>
  <c r="AS42" i="3"/>
  <c r="AS26" i="3"/>
  <c r="AS25" i="3"/>
  <c r="AR89" i="3"/>
  <c r="AR88" i="3"/>
  <c r="AS24" i="3"/>
  <c r="M61" i="7"/>
  <c r="M28" i="7"/>
  <c r="M136" i="3"/>
  <c r="M8" i="7"/>
  <c r="AS136" i="3"/>
  <c r="M17" i="7"/>
  <c r="M29" i="7"/>
  <c r="M137" i="3"/>
  <c r="M9" i="7"/>
  <c r="AS137" i="3"/>
  <c r="M18" i="7"/>
  <c r="M7" i="7"/>
  <c r="M16" i="7"/>
  <c r="M31" i="7"/>
  <c r="M32" i="7"/>
  <c r="M60" i="7"/>
  <c r="M59" i="7"/>
  <c r="M66" i="7"/>
  <c r="N121" i="7"/>
  <c r="L57" i="8"/>
  <c r="N122" i="7"/>
  <c r="N157" i="7"/>
  <c r="N129" i="7"/>
  <c r="L62" i="8"/>
  <c r="N130" i="7"/>
  <c r="N158" i="7"/>
  <c r="N137" i="7"/>
  <c r="M67" i="8"/>
  <c r="N138" i="7"/>
  <c r="N159" i="7"/>
  <c r="N145" i="7"/>
  <c r="P72" i="8"/>
  <c r="N146" i="7"/>
  <c r="N160" i="7"/>
  <c r="N153" i="7"/>
  <c r="P77" i="8"/>
  <c r="N154" i="7"/>
  <c r="N161" i="7"/>
  <c r="N40" i="7"/>
  <c r="N47" i="7"/>
  <c r="N49" i="7"/>
  <c r="N50" i="7"/>
  <c r="N51" i="7"/>
  <c r="N52" i="7"/>
  <c r="N39" i="7"/>
  <c r="N41" i="7"/>
  <c r="N42" i="7"/>
  <c r="N43" i="7"/>
  <c r="N44" i="7"/>
  <c r="N45" i="7"/>
  <c r="N48" i="7"/>
  <c r="N46" i="7"/>
  <c r="N53" i="7"/>
  <c r="N43" i="3"/>
  <c r="N27" i="3"/>
  <c r="N42" i="3"/>
  <c r="N26" i="3"/>
  <c r="N25" i="3"/>
  <c r="M89" i="3"/>
  <c r="M88" i="3"/>
  <c r="N24" i="3"/>
  <c r="AT43" i="3"/>
  <c r="AT27" i="3"/>
  <c r="AT42" i="3"/>
  <c r="AT26" i="3"/>
  <c r="AT25" i="3"/>
  <c r="AS89" i="3"/>
  <c r="AS88" i="3"/>
  <c r="AT24" i="3"/>
  <c r="N61" i="7"/>
  <c r="N28" i="7"/>
  <c r="N136" i="3"/>
  <c r="N8" i="7"/>
  <c r="AT136" i="3"/>
  <c r="N17" i="7"/>
  <c r="N29" i="7"/>
  <c r="N137" i="3"/>
  <c r="N9" i="7"/>
  <c r="AT137" i="3"/>
  <c r="N18" i="7"/>
  <c r="N31" i="7"/>
  <c r="N32" i="7"/>
  <c r="N60" i="7"/>
  <c r="N59" i="7"/>
  <c r="N66" i="7"/>
  <c r="O121" i="7"/>
  <c r="M57" i="8"/>
  <c r="O122" i="7"/>
  <c r="O157" i="7"/>
  <c r="O129" i="7"/>
  <c r="M62" i="8"/>
  <c r="O130" i="7"/>
  <c r="O158" i="7"/>
  <c r="O137" i="7"/>
  <c r="N67" i="8"/>
  <c r="O138" i="7"/>
  <c r="O159" i="7"/>
  <c r="O145" i="7"/>
  <c r="Q72" i="8"/>
  <c r="O146" i="7"/>
  <c r="O160" i="7"/>
  <c r="O153" i="7"/>
  <c r="Q77" i="8"/>
  <c r="O154" i="7"/>
  <c r="O161" i="7"/>
  <c r="O40" i="7"/>
  <c r="O47" i="7"/>
  <c r="O49" i="7"/>
  <c r="O50" i="7"/>
  <c r="O51" i="7"/>
  <c r="O52" i="7"/>
  <c r="O39" i="7"/>
  <c r="O41" i="7"/>
  <c r="O42" i="7"/>
  <c r="O43" i="7"/>
  <c r="O44" i="7"/>
  <c r="O45" i="7"/>
  <c r="O48" i="7"/>
  <c r="O46" i="7"/>
  <c r="O53" i="7"/>
  <c r="O43" i="3"/>
  <c r="O27" i="3"/>
  <c r="O42" i="3"/>
  <c r="O26" i="3"/>
  <c r="O25" i="3"/>
  <c r="N89" i="3"/>
  <c r="N88" i="3"/>
  <c r="O24" i="3"/>
  <c r="AU43" i="3"/>
  <c r="AU27" i="3"/>
  <c r="AU42" i="3"/>
  <c r="AU26" i="3"/>
  <c r="AU25" i="3"/>
  <c r="AT89" i="3"/>
  <c r="AT88" i="3"/>
  <c r="AU24" i="3"/>
  <c r="O61" i="7"/>
  <c r="O28" i="7"/>
  <c r="O136" i="3"/>
  <c r="O8" i="7"/>
  <c r="AU136" i="3"/>
  <c r="O17" i="7"/>
  <c r="O29" i="7"/>
  <c r="O137" i="3"/>
  <c r="O9" i="7"/>
  <c r="AU137" i="3"/>
  <c r="O18" i="7"/>
  <c r="O7" i="7"/>
  <c r="O16" i="7"/>
  <c r="O31" i="7"/>
  <c r="O32" i="7"/>
  <c r="O60" i="7"/>
  <c r="O59" i="7"/>
  <c r="O66" i="7"/>
  <c r="P121" i="7"/>
  <c r="N57" i="8"/>
  <c r="P122" i="7"/>
  <c r="P157" i="7"/>
  <c r="P129" i="7"/>
  <c r="N62" i="8"/>
  <c r="P130" i="7"/>
  <c r="P158" i="7"/>
  <c r="P137" i="7"/>
  <c r="O67" i="8"/>
  <c r="P138" i="7"/>
  <c r="P159" i="7"/>
  <c r="P145" i="7"/>
  <c r="R72" i="8"/>
  <c r="P146" i="7"/>
  <c r="P160" i="7"/>
  <c r="P153" i="7"/>
  <c r="R77" i="8"/>
  <c r="P154" i="7"/>
  <c r="P161" i="7"/>
  <c r="P40" i="7"/>
  <c r="P47" i="7"/>
  <c r="P49" i="7"/>
  <c r="P50" i="7"/>
  <c r="P51" i="7"/>
  <c r="P52" i="7"/>
  <c r="P39" i="7"/>
  <c r="P41" i="7"/>
  <c r="P42" i="7"/>
  <c r="P43" i="7"/>
  <c r="P44" i="7"/>
  <c r="P45" i="7"/>
  <c r="P48" i="7"/>
  <c r="P46" i="7"/>
  <c r="P53" i="7"/>
  <c r="P43" i="3"/>
  <c r="P27" i="3"/>
  <c r="P42" i="3"/>
  <c r="P26" i="3"/>
  <c r="P25" i="3"/>
  <c r="O89" i="3"/>
  <c r="O88" i="3"/>
  <c r="P24" i="3"/>
  <c r="AV43" i="3"/>
  <c r="AV27" i="3"/>
  <c r="AV42" i="3"/>
  <c r="AV26" i="3"/>
  <c r="AV25" i="3"/>
  <c r="AU89" i="3"/>
  <c r="AU88" i="3"/>
  <c r="AV24" i="3"/>
  <c r="P61" i="7"/>
  <c r="P28" i="7"/>
  <c r="P136" i="3"/>
  <c r="P8" i="7"/>
  <c r="AV136" i="3"/>
  <c r="P17" i="7"/>
  <c r="P29" i="7"/>
  <c r="P137" i="3"/>
  <c r="P9" i="7"/>
  <c r="AV137" i="3"/>
  <c r="P18" i="7"/>
  <c r="P7" i="7"/>
  <c r="P16" i="7"/>
  <c r="P31" i="7"/>
  <c r="P32" i="7"/>
  <c r="P60" i="7"/>
  <c r="P59" i="7"/>
  <c r="P66" i="7"/>
  <c r="Q121" i="7"/>
  <c r="O57" i="8"/>
  <c r="Q122" i="7"/>
  <c r="Q157" i="7"/>
  <c r="Q129" i="7"/>
  <c r="O62" i="8"/>
  <c r="Q130" i="7"/>
  <c r="Q158" i="7"/>
  <c r="Q137" i="7"/>
  <c r="P67" i="8"/>
  <c r="Q138" i="7"/>
  <c r="Q159" i="7"/>
  <c r="Q145" i="7"/>
  <c r="S72" i="8"/>
  <c r="Q146" i="7"/>
  <c r="Q160" i="7"/>
  <c r="Q153" i="7"/>
  <c r="S77" i="8"/>
  <c r="Q154" i="7"/>
  <c r="Q161" i="7"/>
  <c r="Q40" i="7"/>
  <c r="Q47" i="7"/>
  <c r="Q49" i="7"/>
  <c r="Q50" i="7"/>
  <c r="Q51" i="7"/>
  <c r="Q52" i="7"/>
  <c r="Q39" i="7"/>
  <c r="Q41" i="7"/>
  <c r="Q42" i="7"/>
  <c r="Q43" i="7"/>
  <c r="Q44" i="7"/>
  <c r="Q45" i="7"/>
  <c r="Q48" i="7"/>
  <c r="Q46" i="7"/>
  <c r="Q53" i="7"/>
  <c r="Q43" i="3"/>
  <c r="Q27" i="3"/>
  <c r="Q42" i="3"/>
  <c r="Q26" i="3"/>
  <c r="Q25" i="3"/>
  <c r="P89" i="3"/>
  <c r="P88" i="3"/>
  <c r="Q24" i="3"/>
  <c r="AW43" i="3"/>
  <c r="AW27" i="3"/>
  <c r="AW42" i="3"/>
  <c r="AW26" i="3"/>
  <c r="AW25" i="3"/>
  <c r="AV89" i="3"/>
  <c r="AV88" i="3"/>
  <c r="AW24" i="3"/>
  <c r="Q61" i="7"/>
  <c r="Q28" i="7"/>
  <c r="Q136" i="3"/>
  <c r="Q8" i="7"/>
  <c r="AW136" i="3"/>
  <c r="Q17" i="7"/>
  <c r="Q29" i="7"/>
  <c r="Q137" i="3"/>
  <c r="Q9" i="7"/>
  <c r="AW137" i="3"/>
  <c r="Q18" i="7"/>
  <c r="Q7" i="7"/>
  <c r="Q16" i="7"/>
  <c r="Q31" i="7"/>
  <c r="Q32" i="7"/>
  <c r="Q60" i="7"/>
  <c r="Q59" i="7"/>
  <c r="Q66" i="7"/>
  <c r="R121" i="7"/>
  <c r="P57" i="8"/>
  <c r="R122" i="7"/>
  <c r="R157" i="7"/>
  <c r="R129" i="7"/>
  <c r="P62" i="8"/>
  <c r="R130" i="7"/>
  <c r="R158" i="7"/>
  <c r="R137" i="7"/>
  <c r="Q67" i="8"/>
  <c r="R138" i="7"/>
  <c r="R159" i="7"/>
  <c r="R145" i="7"/>
  <c r="T72" i="8"/>
  <c r="R146" i="7"/>
  <c r="R160" i="7"/>
  <c r="R153" i="7"/>
  <c r="T77" i="8"/>
  <c r="R154" i="7"/>
  <c r="R161" i="7"/>
  <c r="R40" i="7"/>
  <c r="R47" i="7"/>
  <c r="R49" i="7"/>
  <c r="R50" i="7"/>
  <c r="R51" i="7"/>
  <c r="R52" i="7"/>
  <c r="R39" i="7"/>
  <c r="R41" i="7"/>
  <c r="R42" i="7"/>
  <c r="R43" i="7"/>
  <c r="R44" i="7"/>
  <c r="R45" i="7"/>
  <c r="R48" i="7"/>
  <c r="R46" i="7"/>
  <c r="R53" i="7"/>
  <c r="R43" i="3"/>
  <c r="R27" i="3"/>
  <c r="R42" i="3"/>
  <c r="R26" i="3"/>
  <c r="R25" i="3"/>
  <c r="Q89" i="3"/>
  <c r="Q88" i="3"/>
  <c r="R24" i="3"/>
  <c r="AX43" i="3"/>
  <c r="AX27" i="3"/>
  <c r="AX42" i="3"/>
  <c r="AX26" i="3"/>
  <c r="AX25" i="3"/>
  <c r="AW89" i="3"/>
  <c r="AW88" i="3"/>
  <c r="AX24" i="3"/>
  <c r="R61" i="7"/>
  <c r="R28" i="7"/>
  <c r="R136" i="3"/>
  <c r="R8" i="7"/>
  <c r="AX136" i="3"/>
  <c r="R17" i="7"/>
  <c r="R29" i="7"/>
  <c r="R137" i="3"/>
  <c r="R9" i="7"/>
  <c r="AX137" i="3"/>
  <c r="R18" i="7"/>
  <c r="R7" i="7"/>
  <c r="R16" i="7"/>
  <c r="R31" i="7"/>
  <c r="R32" i="7"/>
  <c r="R60" i="7"/>
  <c r="R59" i="7"/>
  <c r="R66" i="7"/>
  <c r="S121" i="7"/>
  <c r="Q57" i="8"/>
  <c r="S122" i="7"/>
  <c r="S157" i="7"/>
  <c r="S129" i="7"/>
  <c r="Q62" i="8"/>
  <c r="S130" i="7"/>
  <c r="S158" i="7"/>
  <c r="S137" i="7"/>
  <c r="R67" i="8"/>
  <c r="S138" i="7"/>
  <c r="S159" i="7"/>
  <c r="S145" i="7"/>
  <c r="U72" i="8"/>
  <c r="S146" i="7"/>
  <c r="S160" i="7"/>
  <c r="S153" i="7"/>
  <c r="U77" i="8"/>
  <c r="S154" i="7"/>
  <c r="S161" i="7"/>
  <c r="S40" i="7"/>
  <c r="S47" i="7"/>
  <c r="S49" i="7"/>
  <c r="S50" i="7"/>
  <c r="S51" i="7"/>
  <c r="S52" i="7"/>
  <c r="S39" i="7"/>
  <c r="S41" i="7"/>
  <c r="S42" i="7"/>
  <c r="S43" i="7"/>
  <c r="S44" i="7"/>
  <c r="S45" i="7"/>
  <c r="S48" i="7"/>
  <c r="S46" i="7"/>
  <c r="S53" i="7"/>
  <c r="S43" i="3"/>
  <c r="S27" i="3"/>
  <c r="S42" i="3"/>
  <c r="S26" i="3"/>
  <c r="S25" i="3"/>
  <c r="R89" i="3"/>
  <c r="R88" i="3"/>
  <c r="S24" i="3"/>
  <c r="AY43" i="3"/>
  <c r="AY27" i="3"/>
  <c r="AY42" i="3"/>
  <c r="AY26" i="3"/>
  <c r="AY25" i="3"/>
  <c r="AX89" i="3"/>
  <c r="AX88" i="3"/>
  <c r="AY24" i="3"/>
  <c r="S61" i="7"/>
  <c r="S28" i="7"/>
  <c r="S136" i="3"/>
  <c r="S8" i="7"/>
  <c r="AY136" i="3"/>
  <c r="S17" i="7"/>
  <c r="S29" i="7"/>
  <c r="S137" i="3"/>
  <c r="S9" i="7"/>
  <c r="AY137" i="3"/>
  <c r="S18" i="7"/>
  <c r="S7" i="7"/>
  <c r="S16" i="7"/>
  <c r="S31" i="7"/>
  <c r="S32" i="7"/>
  <c r="S60" i="7"/>
  <c r="S59" i="7"/>
  <c r="S66" i="7"/>
  <c r="T121" i="7"/>
  <c r="R57" i="8"/>
  <c r="T122" i="7"/>
  <c r="T157" i="7"/>
  <c r="T129" i="7"/>
  <c r="R62" i="8"/>
  <c r="T130" i="7"/>
  <c r="T158" i="7"/>
  <c r="T137" i="7"/>
  <c r="S67" i="8"/>
  <c r="T138" i="7"/>
  <c r="T159" i="7"/>
  <c r="T145" i="7"/>
  <c r="V72" i="8"/>
  <c r="T146" i="7"/>
  <c r="T160" i="7"/>
  <c r="T153" i="7"/>
  <c r="V77" i="8"/>
  <c r="T154" i="7"/>
  <c r="T161" i="7"/>
  <c r="T40" i="7"/>
  <c r="T47" i="7"/>
  <c r="T49" i="7"/>
  <c r="T50" i="7"/>
  <c r="T51" i="7"/>
  <c r="T52" i="7"/>
  <c r="T39" i="7"/>
  <c r="T41" i="7"/>
  <c r="T42" i="7"/>
  <c r="T43" i="7"/>
  <c r="T44" i="7"/>
  <c r="T45" i="7"/>
  <c r="T48" i="7"/>
  <c r="T46" i="7"/>
  <c r="T53" i="7"/>
  <c r="T43" i="3"/>
  <c r="T27" i="3"/>
  <c r="T42" i="3"/>
  <c r="T26" i="3"/>
  <c r="T25" i="3"/>
  <c r="S89" i="3"/>
  <c r="S88" i="3"/>
  <c r="T24" i="3"/>
  <c r="AZ43" i="3"/>
  <c r="AZ27" i="3"/>
  <c r="AZ42" i="3"/>
  <c r="AZ26" i="3"/>
  <c r="AZ25" i="3"/>
  <c r="AY89" i="3"/>
  <c r="AY88" i="3"/>
  <c r="AZ24" i="3"/>
  <c r="T61" i="7"/>
  <c r="T28" i="7"/>
  <c r="T136" i="3"/>
  <c r="T8" i="7"/>
  <c r="AZ136" i="3"/>
  <c r="T17" i="7"/>
  <c r="T29" i="7"/>
  <c r="T137" i="3"/>
  <c r="T9" i="7"/>
  <c r="AZ137" i="3"/>
  <c r="T18" i="7"/>
  <c r="T7" i="7"/>
  <c r="T16" i="7"/>
  <c r="T31" i="7"/>
  <c r="T32" i="7"/>
  <c r="T60" i="7"/>
  <c r="T59" i="7"/>
  <c r="T66" i="7"/>
  <c r="U121" i="7"/>
  <c r="S57" i="8"/>
  <c r="U122" i="7"/>
  <c r="U157" i="7"/>
  <c r="U129" i="7"/>
  <c r="S62" i="8"/>
  <c r="U130" i="7"/>
  <c r="U158" i="7"/>
  <c r="U137" i="7"/>
  <c r="T67" i="8"/>
  <c r="U138" i="7"/>
  <c r="U159" i="7"/>
  <c r="U145" i="7"/>
  <c r="W72" i="8"/>
  <c r="U146" i="7"/>
  <c r="U160" i="7"/>
  <c r="U153" i="7"/>
  <c r="W77" i="8"/>
  <c r="U154" i="7"/>
  <c r="U161" i="7"/>
  <c r="U40" i="7"/>
  <c r="U47" i="7"/>
  <c r="U49" i="7"/>
  <c r="U50" i="7"/>
  <c r="U51" i="7"/>
  <c r="U52" i="7"/>
  <c r="U39" i="7"/>
  <c r="U41" i="7"/>
  <c r="U42" i="7"/>
  <c r="U43" i="7"/>
  <c r="U44" i="7"/>
  <c r="U45" i="7"/>
  <c r="U48" i="7"/>
  <c r="U46" i="7"/>
  <c r="U53" i="7"/>
  <c r="U43" i="3"/>
  <c r="U27" i="3"/>
  <c r="U42" i="3"/>
  <c r="U26" i="3"/>
  <c r="U25" i="3"/>
  <c r="T89" i="3"/>
  <c r="T88" i="3"/>
  <c r="U24" i="3"/>
  <c r="BA43" i="3"/>
  <c r="BA27" i="3"/>
  <c r="BA42" i="3"/>
  <c r="BA26" i="3"/>
  <c r="BA25" i="3"/>
  <c r="AZ89" i="3"/>
  <c r="AZ88" i="3"/>
  <c r="BA24" i="3"/>
  <c r="U61" i="7"/>
  <c r="U28" i="7"/>
  <c r="U136" i="3"/>
  <c r="U8" i="7"/>
  <c r="BA136" i="3"/>
  <c r="U17" i="7"/>
  <c r="U29" i="7"/>
  <c r="U137" i="3"/>
  <c r="U9" i="7"/>
  <c r="BA137" i="3"/>
  <c r="U18" i="7"/>
  <c r="U7" i="7"/>
  <c r="U16" i="7"/>
  <c r="U31" i="7"/>
  <c r="U32" i="7"/>
  <c r="U60" i="7"/>
  <c r="U59" i="7"/>
  <c r="U66" i="7"/>
  <c r="V121" i="7"/>
  <c r="T57" i="8"/>
  <c r="V122" i="7"/>
  <c r="V157" i="7"/>
  <c r="V129" i="7"/>
  <c r="T62" i="8"/>
  <c r="V130" i="7"/>
  <c r="V158" i="7"/>
  <c r="V137" i="7"/>
  <c r="U67" i="8"/>
  <c r="V138" i="7"/>
  <c r="V159" i="7"/>
  <c r="V145" i="7"/>
  <c r="X72" i="8"/>
  <c r="V146" i="7"/>
  <c r="V160" i="7"/>
  <c r="V153" i="7"/>
  <c r="X77" i="8"/>
  <c r="V154" i="7"/>
  <c r="V161" i="7"/>
  <c r="V40" i="7"/>
  <c r="V47" i="7"/>
  <c r="V49" i="7"/>
  <c r="V50" i="7"/>
  <c r="V51" i="7"/>
  <c r="V52" i="7"/>
  <c r="V39" i="7"/>
  <c r="V41" i="7"/>
  <c r="V42" i="7"/>
  <c r="V43" i="7"/>
  <c r="V44" i="7"/>
  <c r="V45" i="7"/>
  <c r="V48" i="7"/>
  <c r="V46" i="7"/>
  <c r="V53" i="7"/>
  <c r="V43" i="3"/>
  <c r="V27" i="3"/>
  <c r="V42" i="3"/>
  <c r="V26" i="3"/>
  <c r="V25" i="3"/>
  <c r="U89" i="3"/>
  <c r="U88" i="3"/>
  <c r="V24" i="3"/>
  <c r="BB43" i="3"/>
  <c r="BB27" i="3"/>
  <c r="BB42" i="3"/>
  <c r="BB26" i="3"/>
  <c r="BB25" i="3"/>
  <c r="BA89" i="3"/>
  <c r="BA88" i="3"/>
  <c r="BB24" i="3"/>
  <c r="V61" i="7"/>
  <c r="V28" i="7"/>
  <c r="V136" i="3"/>
  <c r="V8" i="7"/>
  <c r="BB136" i="3"/>
  <c r="V17" i="7"/>
  <c r="V29" i="7"/>
  <c r="V137" i="3"/>
  <c r="V9" i="7"/>
  <c r="BB137" i="3"/>
  <c r="V18" i="7"/>
  <c r="V7" i="7"/>
  <c r="V16" i="7"/>
  <c r="V31" i="7"/>
  <c r="V32" i="7"/>
  <c r="V60" i="7"/>
  <c r="V59" i="7"/>
  <c r="V66" i="7"/>
  <c r="W121" i="7"/>
  <c r="U57" i="8"/>
  <c r="W122" i="7"/>
  <c r="W157" i="7"/>
  <c r="W129" i="7"/>
  <c r="U62" i="8"/>
  <c r="W130" i="7"/>
  <c r="W158" i="7"/>
  <c r="W137" i="7"/>
  <c r="V67" i="8"/>
  <c r="W138" i="7"/>
  <c r="W159" i="7"/>
  <c r="W145" i="7"/>
  <c r="Y72" i="8"/>
  <c r="W146" i="7"/>
  <c r="W160" i="7"/>
  <c r="W153" i="7"/>
  <c r="Y77" i="8"/>
  <c r="W154" i="7"/>
  <c r="W161" i="7"/>
  <c r="W40" i="7"/>
  <c r="W47" i="7"/>
  <c r="W49" i="7"/>
  <c r="W50" i="7"/>
  <c r="W51" i="7"/>
  <c r="W52" i="7"/>
  <c r="W39" i="7"/>
  <c r="W41" i="7"/>
  <c r="W42" i="7"/>
  <c r="W43" i="7"/>
  <c r="W44" i="7"/>
  <c r="W45" i="7"/>
  <c r="W48" i="7"/>
  <c r="W46" i="7"/>
  <c r="W53" i="7"/>
  <c r="W43" i="3"/>
  <c r="W27" i="3"/>
  <c r="W42" i="3"/>
  <c r="W26" i="3"/>
  <c r="W25" i="3"/>
  <c r="V89" i="3"/>
  <c r="V88" i="3"/>
  <c r="W24" i="3"/>
  <c r="BC43" i="3"/>
  <c r="BC27" i="3"/>
  <c r="BC42" i="3"/>
  <c r="BC26" i="3"/>
  <c r="BC25" i="3"/>
  <c r="BB89" i="3"/>
  <c r="BB88" i="3"/>
  <c r="BC24" i="3"/>
  <c r="W61" i="7"/>
  <c r="W28" i="7"/>
  <c r="W136" i="3"/>
  <c r="W8" i="7"/>
  <c r="BC136" i="3"/>
  <c r="W17" i="7"/>
  <c r="W29" i="7"/>
  <c r="W137" i="3"/>
  <c r="W9" i="7"/>
  <c r="BC137" i="3"/>
  <c r="W18" i="7"/>
  <c r="W7" i="7"/>
  <c r="W16" i="7"/>
  <c r="W31" i="7"/>
  <c r="W32" i="7"/>
  <c r="W60" i="7"/>
  <c r="W59" i="7"/>
  <c r="W66" i="7"/>
  <c r="X121" i="7"/>
  <c r="V57" i="8"/>
  <c r="X122" i="7"/>
  <c r="X157" i="7"/>
  <c r="X129" i="7"/>
  <c r="V62" i="8"/>
  <c r="X130" i="7"/>
  <c r="X158" i="7"/>
  <c r="X137" i="7"/>
  <c r="W67" i="8"/>
  <c r="X138" i="7"/>
  <c r="X159" i="7"/>
  <c r="X145" i="7"/>
  <c r="Z72" i="8"/>
  <c r="X146" i="7"/>
  <c r="X160" i="7"/>
  <c r="X153" i="7"/>
  <c r="Z77" i="8"/>
  <c r="X154" i="7"/>
  <c r="X161" i="7"/>
  <c r="X40" i="7"/>
  <c r="X47" i="7"/>
  <c r="X49" i="7"/>
  <c r="X50" i="7"/>
  <c r="X51" i="7"/>
  <c r="X52" i="7"/>
  <c r="X39" i="7"/>
  <c r="X41" i="7"/>
  <c r="X42" i="7"/>
  <c r="X43" i="7"/>
  <c r="X44" i="7"/>
  <c r="X45" i="7"/>
  <c r="X48" i="7"/>
  <c r="X46" i="7"/>
  <c r="X53" i="7"/>
  <c r="X43" i="3"/>
  <c r="X27" i="3"/>
  <c r="X42" i="3"/>
  <c r="X26" i="3"/>
  <c r="X25" i="3"/>
  <c r="W89" i="3"/>
  <c r="W88" i="3"/>
  <c r="X24" i="3"/>
  <c r="BD43" i="3"/>
  <c r="BD27" i="3"/>
  <c r="BD42" i="3"/>
  <c r="BD26" i="3"/>
  <c r="BD25" i="3"/>
  <c r="BC89" i="3"/>
  <c r="BC88" i="3"/>
  <c r="BD24" i="3"/>
  <c r="X61" i="7"/>
  <c r="X28" i="7"/>
  <c r="X136" i="3"/>
  <c r="X8" i="7"/>
  <c r="BD136" i="3"/>
  <c r="X17" i="7"/>
  <c r="X29" i="7"/>
  <c r="X137" i="3"/>
  <c r="X9" i="7"/>
  <c r="BD137" i="3"/>
  <c r="X18" i="7"/>
  <c r="X31" i="7"/>
  <c r="X32" i="7"/>
  <c r="X60" i="7"/>
  <c r="X59" i="7"/>
  <c r="X66" i="7"/>
  <c r="Y121" i="7"/>
  <c r="W57" i="8"/>
  <c r="Y122" i="7"/>
  <c r="Y157" i="7"/>
  <c r="Y129" i="7"/>
  <c r="W62" i="8"/>
  <c r="Y130" i="7"/>
  <c r="Y158" i="7"/>
  <c r="Y137" i="7"/>
  <c r="X67" i="8"/>
  <c r="Y138" i="7"/>
  <c r="Y159" i="7"/>
  <c r="Y145" i="7"/>
  <c r="AA72" i="8"/>
  <c r="Y146" i="7"/>
  <c r="Y160" i="7"/>
  <c r="Y153" i="7"/>
  <c r="AA77" i="8"/>
  <c r="Y154" i="7"/>
  <c r="Y161" i="7"/>
  <c r="Y40" i="7"/>
  <c r="Y47" i="7"/>
  <c r="Y49" i="7"/>
  <c r="Y50" i="7"/>
  <c r="Y51" i="7"/>
  <c r="Y52" i="7"/>
  <c r="Y39" i="7"/>
  <c r="Y41" i="7"/>
  <c r="Y42" i="7"/>
  <c r="Y43" i="7"/>
  <c r="Y44" i="7"/>
  <c r="Y45" i="7"/>
  <c r="Y48" i="7"/>
  <c r="Y46" i="7"/>
  <c r="Y53" i="7"/>
  <c r="Y43" i="3"/>
  <c r="Y27" i="3"/>
  <c r="Y42" i="3"/>
  <c r="Y26" i="3"/>
  <c r="Y25" i="3"/>
  <c r="X89" i="3"/>
  <c r="X88" i="3"/>
  <c r="Y24" i="3"/>
  <c r="BE43" i="3"/>
  <c r="BE27" i="3"/>
  <c r="BE42" i="3"/>
  <c r="BE26" i="3"/>
  <c r="BE25" i="3"/>
  <c r="BD89" i="3"/>
  <c r="BD88" i="3"/>
  <c r="BE24" i="3"/>
  <c r="Y61" i="7"/>
  <c r="Y28" i="7"/>
  <c r="Y136" i="3"/>
  <c r="Y8" i="7"/>
  <c r="BE136" i="3"/>
  <c r="Y17" i="7"/>
  <c r="Y29" i="7"/>
  <c r="Y137" i="3"/>
  <c r="Y9" i="7"/>
  <c r="BE137" i="3"/>
  <c r="Y18" i="7"/>
  <c r="Y7" i="7"/>
  <c r="Y16" i="7"/>
  <c r="Y31" i="7"/>
  <c r="Y32" i="7"/>
  <c r="Y60" i="7"/>
  <c r="Y59" i="7"/>
  <c r="Y66" i="7"/>
  <c r="Z121" i="7"/>
  <c r="X57" i="8"/>
  <c r="Z122" i="7"/>
  <c r="Z157" i="7"/>
  <c r="Z129" i="7"/>
  <c r="X62" i="8"/>
  <c r="Z130" i="7"/>
  <c r="Z158" i="7"/>
  <c r="Z137" i="7"/>
  <c r="Y67" i="8"/>
  <c r="Z138" i="7"/>
  <c r="Z159" i="7"/>
  <c r="Z145" i="7"/>
  <c r="AB72" i="8"/>
  <c r="Z146" i="7"/>
  <c r="Z160" i="7"/>
  <c r="Z153" i="7"/>
  <c r="AB77" i="8"/>
  <c r="Z154" i="7"/>
  <c r="Z161" i="7"/>
  <c r="Z40" i="7"/>
  <c r="Z47" i="7"/>
  <c r="Z49" i="7"/>
  <c r="Z50" i="7"/>
  <c r="Z51" i="7"/>
  <c r="Z52" i="7"/>
  <c r="Z39" i="7"/>
  <c r="Z41" i="7"/>
  <c r="Z42" i="7"/>
  <c r="Z43" i="7"/>
  <c r="Z44" i="7"/>
  <c r="Z45" i="7"/>
  <c r="Z48" i="7"/>
  <c r="Z46" i="7"/>
  <c r="Z53" i="7"/>
  <c r="Z43" i="3"/>
  <c r="Z27" i="3"/>
  <c r="Z42" i="3"/>
  <c r="Z26" i="3"/>
  <c r="Z25" i="3"/>
  <c r="Y89" i="3"/>
  <c r="Y88" i="3"/>
  <c r="Z24" i="3"/>
  <c r="BF43" i="3"/>
  <c r="BF27" i="3"/>
  <c r="BF42" i="3"/>
  <c r="BF26" i="3"/>
  <c r="BF25" i="3"/>
  <c r="BE89" i="3"/>
  <c r="BE88" i="3"/>
  <c r="BF24" i="3"/>
  <c r="Z61" i="7"/>
  <c r="Z28" i="7"/>
  <c r="Z136" i="3"/>
  <c r="Z8" i="7"/>
  <c r="BF136" i="3"/>
  <c r="Z17" i="7"/>
  <c r="Z29" i="7"/>
  <c r="Z137" i="3"/>
  <c r="Z9" i="7"/>
  <c r="BF137" i="3"/>
  <c r="Z18" i="7"/>
  <c r="Z7" i="7"/>
  <c r="Z16" i="7"/>
  <c r="Z31" i="7"/>
  <c r="Z32" i="7"/>
  <c r="Z60" i="7"/>
  <c r="Z59" i="7"/>
  <c r="Z66" i="7"/>
  <c r="AA121" i="7"/>
  <c r="Y57" i="8"/>
  <c r="AA122" i="7"/>
  <c r="AA157" i="7"/>
  <c r="AA129" i="7"/>
  <c r="Y62" i="8"/>
  <c r="AA130" i="7"/>
  <c r="AA158" i="7"/>
  <c r="AA137" i="7"/>
  <c r="Z67" i="8"/>
  <c r="AA138" i="7"/>
  <c r="AA159" i="7"/>
  <c r="AA145" i="7"/>
  <c r="AC72" i="8"/>
  <c r="AA146" i="7"/>
  <c r="AA160" i="7"/>
  <c r="AA153" i="7"/>
  <c r="AC77" i="8"/>
  <c r="AA154" i="7"/>
  <c r="AA161" i="7"/>
  <c r="AA40" i="7"/>
  <c r="AA47" i="7"/>
  <c r="AA49" i="7"/>
  <c r="AA50" i="7"/>
  <c r="AA51" i="7"/>
  <c r="AA52" i="7"/>
  <c r="AA39" i="7"/>
  <c r="AA41" i="7"/>
  <c r="AA42" i="7"/>
  <c r="AA43" i="7"/>
  <c r="AA44" i="7"/>
  <c r="AA45" i="7"/>
  <c r="AA48" i="7"/>
  <c r="AA46" i="7"/>
  <c r="AA53" i="7"/>
  <c r="AA43" i="3"/>
  <c r="AA27" i="3"/>
  <c r="AA42" i="3"/>
  <c r="AA26" i="3"/>
  <c r="AA25" i="3"/>
  <c r="Z89" i="3"/>
  <c r="Z88" i="3"/>
  <c r="AA24" i="3"/>
  <c r="BG43" i="3"/>
  <c r="BG27" i="3"/>
  <c r="BG42" i="3"/>
  <c r="BG26" i="3"/>
  <c r="BG25" i="3"/>
  <c r="BF89" i="3"/>
  <c r="BF88" i="3"/>
  <c r="BG24" i="3"/>
  <c r="AA61" i="7"/>
  <c r="AA28" i="7"/>
  <c r="AA136" i="3"/>
  <c r="AA8" i="7"/>
  <c r="BG136" i="3"/>
  <c r="AA17" i="7"/>
  <c r="AA29" i="7"/>
  <c r="AA137" i="3"/>
  <c r="AA9" i="7"/>
  <c r="BG137" i="3"/>
  <c r="AA18" i="7"/>
  <c r="AA7" i="7"/>
  <c r="AA16" i="7"/>
  <c r="AA31" i="7"/>
  <c r="AA32" i="7"/>
  <c r="AA60" i="7"/>
  <c r="AA59" i="7"/>
  <c r="AA66" i="7"/>
  <c r="AB121" i="7"/>
  <c r="Z57" i="8"/>
  <c r="AB122" i="7"/>
  <c r="AB157" i="7"/>
  <c r="AB129" i="7"/>
  <c r="Z62" i="8"/>
  <c r="AB130" i="7"/>
  <c r="AB158" i="7"/>
  <c r="AB137" i="7"/>
  <c r="AA67" i="8"/>
  <c r="AB138" i="7"/>
  <c r="AB159" i="7"/>
  <c r="AB145" i="7"/>
  <c r="AD72" i="8"/>
  <c r="AB146" i="7"/>
  <c r="AB160" i="7"/>
  <c r="AB153" i="7"/>
  <c r="AD77" i="8"/>
  <c r="AB154" i="7"/>
  <c r="AB161" i="7"/>
  <c r="AB40" i="7"/>
  <c r="AB47" i="7"/>
  <c r="AB49" i="7"/>
  <c r="AB50" i="7"/>
  <c r="AB51" i="7"/>
  <c r="AB52" i="7"/>
  <c r="AB39" i="7"/>
  <c r="AB41" i="7"/>
  <c r="AB42" i="7"/>
  <c r="AB43" i="7"/>
  <c r="AB44" i="7"/>
  <c r="AB45" i="7"/>
  <c r="AB48" i="7"/>
  <c r="AB46" i="7"/>
  <c r="AB53" i="7"/>
  <c r="AB43" i="3"/>
  <c r="AB27" i="3"/>
  <c r="AB42" i="3"/>
  <c r="AB26" i="3"/>
  <c r="AB25" i="3"/>
  <c r="AA89" i="3"/>
  <c r="AA88" i="3"/>
  <c r="AB24" i="3"/>
  <c r="BH43" i="3"/>
  <c r="BH27" i="3"/>
  <c r="BH42" i="3"/>
  <c r="BH26" i="3"/>
  <c r="BH25" i="3"/>
  <c r="BG89" i="3"/>
  <c r="BG88" i="3"/>
  <c r="BH24" i="3"/>
  <c r="AB61" i="7"/>
  <c r="AB28" i="7"/>
  <c r="AB136" i="3"/>
  <c r="AB8" i="7"/>
  <c r="BH136" i="3"/>
  <c r="AB17" i="7"/>
  <c r="AB29" i="7"/>
  <c r="AB137" i="3"/>
  <c r="AB9" i="7"/>
  <c r="BH137" i="3"/>
  <c r="AB18" i="7"/>
  <c r="AB7" i="7"/>
  <c r="AB16" i="7"/>
  <c r="AB31" i="7"/>
  <c r="AB32" i="7"/>
  <c r="AB60" i="7"/>
  <c r="AB59" i="7"/>
  <c r="AB66" i="7"/>
  <c r="AC121" i="7"/>
  <c r="AA57" i="8"/>
  <c r="AC122" i="7"/>
  <c r="AC157" i="7"/>
  <c r="AC129" i="7"/>
  <c r="AA62" i="8"/>
  <c r="AC130" i="7"/>
  <c r="AC158" i="7"/>
  <c r="AC137" i="7"/>
  <c r="AB67" i="8"/>
  <c r="AC138" i="7"/>
  <c r="AC159" i="7"/>
  <c r="AC145" i="7"/>
  <c r="AE72" i="8"/>
  <c r="AC146" i="7"/>
  <c r="AC160" i="7"/>
  <c r="AC153" i="7"/>
  <c r="AE77" i="8"/>
  <c r="AC154" i="7"/>
  <c r="AC161" i="7"/>
  <c r="AC40" i="7"/>
  <c r="AC47" i="7"/>
  <c r="AC49" i="7"/>
  <c r="AC50" i="7"/>
  <c r="AC51" i="7"/>
  <c r="AC52" i="7"/>
  <c r="AC39" i="7"/>
  <c r="AC41" i="7"/>
  <c r="AC42" i="7"/>
  <c r="AC43" i="7"/>
  <c r="AC44" i="7"/>
  <c r="AC45" i="7"/>
  <c r="AC48" i="7"/>
  <c r="AC46" i="7"/>
  <c r="AC53" i="7"/>
  <c r="AC43" i="3"/>
  <c r="AC27" i="3"/>
  <c r="AC42" i="3"/>
  <c r="AC26" i="3"/>
  <c r="AC25" i="3"/>
  <c r="AB89" i="3"/>
  <c r="AB88" i="3"/>
  <c r="AC24" i="3"/>
  <c r="BI43" i="3"/>
  <c r="BI27" i="3"/>
  <c r="BI42" i="3"/>
  <c r="BI26" i="3"/>
  <c r="BI25" i="3"/>
  <c r="BH89" i="3"/>
  <c r="BH88" i="3"/>
  <c r="BI24" i="3"/>
  <c r="AC61" i="7"/>
  <c r="AC28" i="7"/>
  <c r="AC136" i="3"/>
  <c r="AC8" i="7"/>
  <c r="BI136" i="3"/>
  <c r="AC17" i="7"/>
  <c r="AC29" i="7"/>
  <c r="AC137" i="3"/>
  <c r="AC9" i="7"/>
  <c r="BI137" i="3"/>
  <c r="AC18" i="7"/>
  <c r="AC7" i="7"/>
  <c r="AC16" i="7"/>
  <c r="AC31" i="7"/>
  <c r="AC32" i="7"/>
  <c r="AC60" i="7"/>
  <c r="AC59" i="7"/>
  <c r="AC66" i="7"/>
  <c r="AD121" i="7"/>
  <c r="AB57" i="8"/>
  <c r="AD122" i="7"/>
  <c r="AD157" i="7"/>
  <c r="AD129" i="7"/>
  <c r="AB62" i="8"/>
  <c r="AD130" i="7"/>
  <c r="AD158" i="7"/>
  <c r="AD137" i="7"/>
  <c r="AC67" i="8"/>
  <c r="AD138" i="7"/>
  <c r="AD159" i="7"/>
  <c r="AD145" i="7"/>
  <c r="AF72" i="8"/>
  <c r="AD146" i="7"/>
  <c r="AD160" i="7"/>
  <c r="AD153" i="7"/>
  <c r="AF77" i="8"/>
  <c r="AD154" i="7"/>
  <c r="AD161" i="7"/>
  <c r="AD40" i="7"/>
  <c r="AD47" i="7"/>
  <c r="AD49" i="7"/>
  <c r="AD50" i="7"/>
  <c r="AD51" i="7"/>
  <c r="AD52" i="7"/>
  <c r="AD39" i="7"/>
  <c r="AD41" i="7"/>
  <c r="AD42" i="7"/>
  <c r="AD43" i="7"/>
  <c r="AD44" i="7"/>
  <c r="AD45" i="7"/>
  <c r="AD48" i="7"/>
  <c r="AD46" i="7"/>
  <c r="AD53" i="7"/>
  <c r="AD43" i="3"/>
  <c r="AD27" i="3"/>
  <c r="AD42" i="3"/>
  <c r="AD26" i="3"/>
  <c r="AD25" i="3"/>
  <c r="AC89" i="3"/>
  <c r="AC88" i="3"/>
  <c r="AD24" i="3"/>
  <c r="BJ43" i="3"/>
  <c r="BJ27" i="3"/>
  <c r="BJ42" i="3"/>
  <c r="BJ26" i="3"/>
  <c r="BJ25" i="3"/>
  <c r="BI89" i="3"/>
  <c r="BI88" i="3"/>
  <c r="BJ24" i="3"/>
  <c r="AD61" i="7"/>
  <c r="AD28" i="7"/>
  <c r="AD136" i="3"/>
  <c r="AD8" i="7"/>
  <c r="BJ136" i="3"/>
  <c r="AD17" i="7"/>
  <c r="AD29" i="7"/>
  <c r="AD137" i="3"/>
  <c r="AD9" i="7"/>
  <c r="BJ137" i="3"/>
  <c r="AD18" i="7"/>
  <c r="AD31" i="7"/>
  <c r="AD32" i="7"/>
  <c r="AD60" i="7"/>
  <c r="AD59" i="7"/>
  <c r="AD66" i="7"/>
  <c r="AE121" i="7"/>
  <c r="AC57" i="8"/>
  <c r="AE122" i="7"/>
  <c r="AE157" i="7"/>
  <c r="AE129" i="7"/>
  <c r="AC62" i="8"/>
  <c r="AE130" i="7"/>
  <c r="AE158" i="7"/>
  <c r="AE137" i="7"/>
  <c r="AD67" i="8"/>
  <c r="AE138" i="7"/>
  <c r="AE159" i="7"/>
  <c r="AE145" i="7"/>
  <c r="AG72" i="8"/>
  <c r="AE146" i="7"/>
  <c r="AE160" i="7"/>
  <c r="AE153" i="7"/>
  <c r="AG77" i="8"/>
  <c r="AE154" i="7"/>
  <c r="AE161" i="7"/>
  <c r="AE40" i="7"/>
  <c r="AE47" i="7"/>
  <c r="AE49" i="7"/>
  <c r="AE50" i="7"/>
  <c r="AE51" i="7"/>
  <c r="AE52" i="7"/>
  <c r="AE39" i="7"/>
  <c r="AE41" i="7"/>
  <c r="AE42" i="7"/>
  <c r="AE43" i="7"/>
  <c r="AE44" i="7"/>
  <c r="AE45" i="7"/>
  <c r="AE48" i="7"/>
  <c r="AE46" i="7"/>
  <c r="AE53" i="7"/>
  <c r="AE43" i="3"/>
  <c r="AE27" i="3"/>
  <c r="AE42" i="3"/>
  <c r="AE26" i="3"/>
  <c r="AE25" i="3"/>
  <c r="AD89" i="3"/>
  <c r="AD88" i="3"/>
  <c r="AE24" i="3"/>
  <c r="BK43" i="3"/>
  <c r="BK27" i="3"/>
  <c r="BK42" i="3"/>
  <c r="BK26" i="3"/>
  <c r="BK25" i="3"/>
  <c r="BJ89" i="3"/>
  <c r="BJ88" i="3"/>
  <c r="BK24" i="3"/>
  <c r="AE61" i="7"/>
  <c r="AE28" i="7"/>
  <c r="AE136" i="3"/>
  <c r="AE8" i="7"/>
  <c r="BK136" i="3"/>
  <c r="AE17" i="7"/>
  <c r="AE29" i="7"/>
  <c r="AE137" i="3"/>
  <c r="AE9" i="7"/>
  <c r="BK137" i="3"/>
  <c r="AE18" i="7"/>
  <c r="AE57" i="3"/>
  <c r="AE7" i="7"/>
  <c r="BK57" i="3"/>
  <c r="AE16" i="7"/>
  <c r="AE31" i="7"/>
  <c r="AE32" i="7"/>
  <c r="AE60" i="7"/>
  <c r="AE59" i="7"/>
  <c r="AE66" i="7"/>
  <c r="AF121" i="7"/>
  <c r="AD57" i="8"/>
  <c r="AF122" i="7"/>
  <c r="AF157" i="7"/>
  <c r="AF129" i="7"/>
  <c r="AD62" i="8"/>
  <c r="AF130" i="7"/>
  <c r="AF158" i="7"/>
  <c r="AF137" i="7"/>
  <c r="AE67" i="8"/>
  <c r="AF138" i="7"/>
  <c r="AF159" i="7"/>
  <c r="AF145" i="7"/>
  <c r="AH72" i="8"/>
  <c r="AF146" i="7"/>
  <c r="AF160" i="7"/>
  <c r="AF153" i="7"/>
  <c r="AH77" i="8"/>
  <c r="AF154" i="7"/>
  <c r="AF161" i="7"/>
  <c r="AF40" i="7"/>
  <c r="AF47" i="7"/>
  <c r="AF49" i="7"/>
  <c r="AF50" i="7"/>
  <c r="AF51" i="7"/>
  <c r="AF52" i="7"/>
  <c r="AF39" i="7"/>
  <c r="AF41" i="7"/>
  <c r="AF42" i="7"/>
  <c r="AF43" i="7"/>
  <c r="AF44" i="7"/>
  <c r="AF45" i="7"/>
  <c r="AF48" i="7"/>
  <c r="AF46" i="7"/>
  <c r="AF53" i="7"/>
  <c r="AF43" i="3"/>
  <c r="AF27" i="3"/>
  <c r="AF42" i="3"/>
  <c r="AF26" i="3"/>
  <c r="AF25" i="3"/>
  <c r="AE89" i="3"/>
  <c r="AE88" i="3"/>
  <c r="AF24" i="3"/>
  <c r="BL43" i="3"/>
  <c r="BL27" i="3"/>
  <c r="BL42" i="3"/>
  <c r="BL26" i="3"/>
  <c r="BL25" i="3"/>
  <c r="BK89" i="3"/>
  <c r="BK88" i="3"/>
  <c r="BL24" i="3"/>
  <c r="AF61" i="7"/>
  <c r="AF28" i="7"/>
  <c r="AF136" i="3"/>
  <c r="AF8" i="7"/>
  <c r="BL136" i="3"/>
  <c r="AF17" i="7"/>
  <c r="AF29" i="7"/>
  <c r="AF137" i="3"/>
  <c r="AF9" i="7"/>
  <c r="BL137" i="3"/>
  <c r="AF18" i="7"/>
  <c r="AF57" i="3"/>
  <c r="AF7" i="7"/>
  <c r="BL57" i="3"/>
  <c r="AF16" i="7"/>
  <c r="AF31" i="7"/>
  <c r="AF32" i="7"/>
  <c r="AF60" i="7"/>
  <c r="AF59" i="7"/>
  <c r="AF66" i="7"/>
  <c r="AN133" i="3"/>
  <c r="AN131" i="3"/>
  <c r="L75" i="1"/>
  <c r="AM142" i="3"/>
  <c r="AM143" i="3"/>
  <c r="AN143" i="3"/>
  <c r="AN146" i="3"/>
  <c r="L76" i="1"/>
  <c r="AM144" i="3"/>
  <c r="AN144" i="3"/>
  <c r="AN147" i="3"/>
  <c r="AN148" i="3"/>
  <c r="AN142" i="3"/>
  <c r="AN130" i="3"/>
  <c r="AN132" i="3"/>
  <c r="L77" i="1"/>
  <c r="AM150" i="3"/>
  <c r="AM151" i="3"/>
  <c r="AN151" i="3"/>
  <c r="AN154" i="3"/>
  <c r="AN134" i="3"/>
  <c r="L78" i="1"/>
  <c r="AM152" i="3"/>
  <c r="AN152" i="3"/>
  <c r="AN155" i="3"/>
  <c r="AN156" i="3"/>
  <c r="AN150" i="3"/>
  <c r="AN140" i="3"/>
  <c r="AM140" i="3"/>
  <c r="AN158" i="3"/>
  <c r="H133" i="3"/>
  <c r="G131" i="3"/>
  <c r="H131" i="3"/>
  <c r="G142" i="3"/>
  <c r="G143" i="3"/>
  <c r="H143" i="3"/>
  <c r="H146" i="3"/>
  <c r="H134" i="3"/>
  <c r="G144" i="3"/>
  <c r="H144" i="3"/>
  <c r="H147" i="3"/>
  <c r="H148" i="3"/>
  <c r="H142" i="3"/>
  <c r="G130" i="3"/>
  <c r="G132" i="3"/>
  <c r="H132" i="3"/>
  <c r="G150" i="3"/>
  <c r="G151" i="3"/>
  <c r="H151" i="3"/>
  <c r="H154" i="3"/>
  <c r="G152" i="3"/>
  <c r="H152" i="3"/>
  <c r="H155" i="3"/>
  <c r="H156" i="3"/>
  <c r="H150" i="3"/>
  <c r="H130" i="3"/>
  <c r="H140" i="3"/>
  <c r="G140" i="3"/>
  <c r="H158" i="3"/>
  <c r="H35" i="3"/>
  <c r="H36" i="3"/>
  <c r="H18" i="3"/>
  <c r="H19" i="3"/>
  <c r="H55" i="7"/>
  <c r="G37" i="3"/>
  <c r="G55" i="7"/>
  <c r="H37" i="3"/>
  <c r="H20" i="3"/>
  <c r="H59" i="3"/>
  <c r="H104" i="3"/>
  <c r="H38" i="3"/>
  <c r="H21" i="3"/>
  <c r="H10" i="3"/>
  <c r="H75" i="3"/>
  <c r="H77" i="3"/>
  <c r="I77" i="3"/>
  <c r="J77" i="3"/>
  <c r="K77" i="3"/>
  <c r="L77" i="3"/>
  <c r="M77" i="3"/>
  <c r="N77" i="3"/>
  <c r="O77" i="3"/>
  <c r="P77" i="3"/>
  <c r="Q77" i="3"/>
  <c r="R77" i="3"/>
  <c r="S77" i="3"/>
  <c r="T77" i="3"/>
  <c r="U77" i="3"/>
  <c r="V77" i="3"/>
  <c r="W77" i="3"/>
  <c r="X77" i="3"/>
  <c r="Y77" i="3"/>
  <c r="Z77" i="3"/>
  <c r="AA77" i="3"/>
  <c r="AB77" i="3"/>
  <c r="AC77" i="3"/>
  <c r="AD77" i="3"/>
  <c r="AE77" i="3"/>
  <c r="AF77" i="3"/>
  <c r="H7" i="3"/>
  <c r="H8" i="3"/>
  <c r="H91" i="3"/>
  <c r="H22" i="3"/>
  <c r="AM35" i="3"/>
  <c r="AN35" i="3"/>
  <c r="AN36" i="3"/>
  <c r="AN18" i="3"/>
  <c r="AN19" i="3"/>
  <c r="AM61" i="3"/>
  <c r="AM38" i="3"/>
  <c r="AM37" i="3"/>
  <c r="AN37" i="3"/>
  <c r="AN20" i="3"/>
  <c r="AN59" i="3"/>
  <c r="AN104" i="3"/>
  <c r="AN40" i="3"/>
  <c r="AN21" i="3"/>
  <c r="AN7" i="3"/>
  <c r="AN91" i="3"/>
  <c r="AN22" i="3"/>
  <c r="S78" i="3"/>
  <c r="T78" i="3"/>
  <c r="U78" i="3"/>
  <c r="V78" i="3"/>
  <c r="W78" i="3"/>
  <c r="X78" i="3"/>
  <c r="Y78" i="3"/>
  <c r="Z78" i="3"/>
  <c r="AA78" i="3"/>
  <c r="AB78" i="3"/>
  <c r="AC78" i="3"/>
  <c r="AD78" i="3"/>
  <c r="AE78" i="3"/>
  <c r="AF78" i="3"/>
  <c r="AO133" i="3"/>
  <c r="AO131" i="3"/>
  <c r="AO143" i="3"/>
  <c r="AO146" i="3"/>
  <c r="AO144" i="3"/>
  <c r="AO147" i="3"/>
  <c r="AO148" i="3"/>
  <c r="AO142" i="3"/>
  <c r="AO130" i="3"/>
  <c r="AO132" i="3"/>
  <c r="AO151" i="3"/>
  <c r="AO154" i="3"/>
  <c r="AO134" i="3"/>
  <c r="AO152" i="3"/>
  <c r="AO155" i="3"/>
  <c r="AO156" i="3"/>
  <c r="AO150" i="3"/>
  <c r="AO140" i="3"/>
  <c r="AO158" i="3"/>
  <c r="I133" i="3"/>
  <c r="I131" i="3"/>
  <c r="I143" i="3"/>
  <c r="I146" i="3"/>
  <c r="I134" i="3"/>
  <c r="I144" i="3"/>
  <c r="I147" i="3"/>
  <c r="I148" i="3"/>
  <c r="I142" i="3"/>
  <c r="I132" i="3"/>
  <c r="I151" i="3"/>
  <c r="I154" i="3"/>
  <c r="I152" i="3"/>
  <c r="I155" i="3"/>
  <c r="I156" i="3"/>
  <c r="I150" i="3"/>
  <c r="I130" i="3"/>
  <c r="I140" i="3"/>
  <c r="I158" i="3"/>
  <c r="I35" i="3"/>
  <c r="I36" i="3"/>
  <c r="I18" i="3"/>
  <c r="I19" i="3"/>
  <c r="I55" i="7"/>
  <c r="I37" i="3"/>
  <c r="I20" i="3"/>
  <c r="I59" i="3"/>
  <c r="I104" i="3"/>
  <c r="I38" i="3"/>
  <c r="I21" i="3"/>
  <c r="I7" i="3"/>
  <c r="I8" i="3"/>
  <c r="I91" i="3"/>
  <c r="I22" i="3"/>
  <c r="AO35" i="3"/>
  <c r="AO36" i="3"/>
  <c r="AO18" i="3"/>
  <c r="AO19" i="3"/>
  <c r="AO37" i="3"/>
  <c r="AO20" i="3"/>
  <c r="AO59" i="3"/>
  <c r="AO104" i="3"/>
  <c r="AO40" i="3"/>
  <c r="AO21" i="3"/>
  <c r="AO7" i="3"/>
  <c r="AO91" i="3"/>
  <c r="AO22" i="3"/>
  <c r="T79" i="3"/>
  <c r="U79" i="3"/>
  <c r="V79" i="3"/>
  <c r="W79" i="3"/>
  <c r="X79" i="3"/>
  <c r="Y79" i="3"/>
  <c r="Z79" i="3"/>
  <c r="AA79" i="3"/>
  <c r="AB79" i="3"/>
  <c r="AC79" i="3"/>
  <c r="AD79" i="3"/>
  <c r="AE79" i="3"/>
  <c r="AF79" i="3"/>
  <c r="AP133" i="3"/>
  <c r="AP131" i="3"/>
  <c r="AP143" i="3"/>
  <c r="AP146" i="3"/>
  <c r="AP144" i="3"/>
  <c r="AP147" i="3"/>
  <c r="AP148" i="3"/>
  <c r="AP142" i="3"/>
  <c r="AP130" i="3"/>
  <c r="AP132" i="3"/>
  <c r="AP151" i="3"/>
  <c r="AP154" i="3"/>
  <c r="AP134" i="3"/>
  <c r="AP152" i="3"/>
  <c r="AP155" i="3"/>
  <c r="AP156" i="3"/>
  <c r="AP150" i="3"/>
  <c r="AP140" i="3"/>
  <c r="AP158" i="3"/>
  <c r="J133" i="3"/>
  <c r="J131" i="3"/>
  <c r="J143" i="3"/>
  <c r="J146" i="3"/>
  <c r="J134" i="3"/>
  <c r="J144" i="3"/>
  <c r="J147" i="3"/>
  <c r="J148" i="3"/>
  <c r="J142" i="3"/>
  <c r="J132" i="3"/>
  <c r="J151" i="3"/>
  <c r="J154" i="3"/>
  <c r="J152" i="3"/>
  <c r="J155" i="3"/>
  <c r="J156" i="3"/>
  <c r="J150" i="3"/>
  <c r="J130" i="3"/>
  <c r="J140" i="3"/>
  <c r="J158" i="3"/>
  <c r="J35" i="3"/>
  <c r="J36" i="3"/>
  <c r="J18" i="3"/>
  <c r="J19" i="3"/>
  <c r="J55" i="7"/>
  <c r="J37" i="3"/>
  <c r="J20" i="3"/>
  <c r="J59" i="3"/>
  <c r="J104" i="3"/>
  <c r="J38" i="3"/>
  <c r="J21" i="3"/>
  <c r="J7" i="3"/>
  <c r="J8" i="3"/>
  <c r="J91" i="3"/>
  <c r="J22" i="3"/>
  <c r="AP35" i="3"/>
  <c r="AP36" i="3"/>
  <c r="AP18" i="3"/>
  <c r="AP19" i="3"/>
  <c r="AP37" i="3"/>
  <c r="AP20" i="3"/>
  <c r="AP59" i="3"/>
  <c r="AP104" i="3"/>
  <c r="AP40" i="3"/>
  <c r="AP21" i="3"/>
  <c r="AP7" i="3"/>
  <c r="AP91" i="3"/>
  <c r="AP22" i="3"/>
  <c r="U80" i="3"/>
  <c r="V80" i="3"/>
  <c r="W80" i="3"/>
  <c r="X80" i="3"/>
  <c r="Y80" i="3"/>
  <c r="Z80" i="3"/>
  <c r="AA80" i="3"/>
  <c r="AB80" i="3"/>
  <c r="AC80" i="3"/>
  <c r="AD80" i="3"/>
  <c r="AE80" i="3"/>
  <c r="AF80" i="3"/>
  <c r="AQ133" i="3"/>
  <c r="AQ131" i="3"/>
  <c r="AQ143" i="3"/>
  <c r="AQ146" i="3"/>
  <c r="AQ144" i="3"/>
  <c r="AQ147" i="3"/>
  <c r="AQ148" i="3"/>
  <c r="AQ142" i="3"/>
  <c r="AQ130" i="3"/>
  <c r="AQ132" i="3"/>
  <c r="AQ151" i="3"/>
  <c r="AQ154" i="3"/>
  <c r="AQ134" i="3"/>
  <c r="AQ152" i="3"/>
  <c r="AQ155" i="3"/>
  <c r="AQ156" i="3"/>
  <c r="AQ150" i="3"/>
  <c r="AQ140" i="3"/>
  <c r="AQ158" i="3"/>
  <c r="K133" i="3"/>
  <c r="K131" i="3"/>
  <c r="K143" i="3"/>
  <c r="K146" i="3"/>
  <c r="K134" i="3"/>
  <c r="K144" i="3"/>
  <c r="K147" i="3"/>
  <c r="K148" i="3"/>
  <c r="K142" i="3"/>
  <c r="K132" i="3"/>
  <c r="K151" i="3"/>
  <c r="K154" i="3"/>
  <c r="K152" i="3"/>
  <c r="K155" i="3"/>
  <c r="K156" i="3"/>
  <c r="K150" i="3"/>
  <c r="K130" i="3"/>
  <c r="K140" i="3"/>
  <c r="K158" i="3"/>
  <c r="K35" i="3"/>
  <c r="K36" i="3"/>
  <c r="K18" i="3"/>
  <c r="K19" i="3"/>
  <c r="K55" i="7"/>
  <c r="K37" i="3"/>
  <c r="K20" i="3"/>
  <c r="K59" i="3"/>
  <c r="K104" i="3"/>
  <c r="K38" i="3"/>
  <c r="K21" i="3"/>
  <c r="K7" i="3"/>
  <c r="K8" i="3"/>
  <c r="K91" i="3"/>
  <c r="K22" i="3"/>
  <c r="AQ35" i="3"/>
  <c r="AQ36" i="3"/>
  <c r="AQ18" i="3"/>
  <c r="AQ19" i="3"/>
  <c r="AQ37" i="3"/>
  <c r="AQ20" i="3"/>
  <c r="AQ59" i="3"/>
  <c r="AQ104" i="3"/>
  <c r="AQ40" i="3"/>
  <c r="AQ21" i="3"/>
  <c r="AQ7" i="3"/>
  <c r="AQ91" i="3"/>
  <c r="AQ22" i="3"/>
  <c r="V81" i="3"/>
  <c r="W81" i="3"/>
  <c r="X81" i="3"/>
  <c r="Y81" i="3"/>
  <c r="Z81" i="3"/>
  <c r="AA81" i="3"/>
  <c r="AB81" i="3"/>
  <c r="AC81" i="3"/>
  <c r="AD81" i="3"/>
  <c r="AE81" i="3"/>
  <c r="AF81" i="3"/>
  <c r="AR133" i="3"/>
  <c r="AR131" i="3"/>
  <c r="AR143" i="3"/>
  <c r="AR146" i="3"/>
  <c r="AR144" i="3"/>
  <c r="AR147" i="3"/>
  <c r="AR148" i="3"/>
  <c r="AR142" i="3"/>
  <c r="AR130" i="3"/>
  <c r="AR132" i="3"/>
  <c r="AR151" i="3"/>
  <c r="AR154" i="3"/>
  <c r="AR134" i="3"/>
  <c r="AR152" i="3"/>
  <c r="AR155" i="3"/>
  <c r="AR156" i="3"/>
  <c r="AR150" i="3"/>
  <c r="AR140" i="3"/>
  <c r="AR158" i="3"/>
  <c r="L133" i="3"/>
  <c r="L131" i="3"/>
  <c r="L143" i="3"/>
  <c r="L146" i="3"/>
  <c r="L134" i="3"/>
  <c r="L144" i="3"/>
  <c r="L147" i="3"/>
  <c r="L148" i="3"/>
  <c r="L142" i="3"/>
  <c r="L132" i="3"/>
  <c r="L151" i="3"/>
  <c r="L154" i="3"/>
  <c r="L152" i="3"/>
  <c r="L155" i="3"/>
  <c r="L156" i="3"/>
  <c r="L150" i="3"/>
  <c r="L130" i="3"/>
  <c r="L140" i="3"/>
  <c r="L158" i="3"/>
  <c r="L35" i="3"/>
  <c r="L36" i="3"/>
  <c r="L18" i="3"/>
  <c r="L19" i="3"/>
  <c r="L55" i="7"/>
  <c r="L37" i="3"/>
  <c r="L20" i="3"/>
  <c r="L59" i="3"/>
  <c r="L104" i="3"/>
  <c r="L38" i="3"/>
  <c r="L21" i="3"/>
  <c r="L7" i="3"/>
  <c r="L8" i="3"/>
  <c r="L91" i="3"/>
  <c r="L22" i="3"/>
  <c r="AR35" i="3"/>
  <c r="AR36" i="3"/>
  <c r="AR18" i="3"/>
  <c r="AR19" i="3"/>
  <c r="AR37" i="3"/>
  <c r="AR20" i="3"/>
  <c r="AR59" i="3"/>
  <c r="AR104" i="3"/>
  <c r="AR40" i="3"/>
  <c r="AR21" i="3"/>
  <c r="AR7" i="3"/>
  <c r="AR91" i="3"/>
  <c r="AR22" i="3"/>
  <c r="W82" i="3"/>
  <c r="X82" i="3"/>
  <c r="Y82" i="3"/>
  <c r="Z82" i="3"/>
  <c r="AA82" i="3"/>
  <c r="AB82" i="3"/>
  <c r="AC82" i="3"/>
  <c r="AD82" i="3"/>
  <c r="AE82" i="3"/>
  <c r="AF82" i="3"/>
  <c r="AS133" i="3"/>
  <c r="AS131" i="3"/>
  <c r="AS143" i="3"/>
  <c r="AS146" i="3"/>
  <c r="AS144" i="3"/>
  <c r="AS147" i="3"/>
  <c r="AS148" i="3"/>
  <c r="AS142" i="3"/>
  <c r="AS130" i="3"/>
  <c r="AS132" i="3"/>
  <c r="AS151" i="3"/>
  <c r="AS154" i="3"/>
  <c r="AS134" i="3"/>
  <c r="AS152" i="3"/>
  <c r="AS155" i="3"/>
  <c r="AS156" i="3"/>
  <c r="AS150" i="3"/>
  <c r="AS140" i="3"/>
  <c r="AS158" i="3"/>
  <c r="M133" i="3"/>
  <c r="M131" i="3"/>
  <c r="M143" i="3"/>
  <c r="M146" i="3"/>
  <c r="M134" i="3"/>
  <c r="M144" i="3"/>
  <c r="M147" i="3"/>
  <c r="M148" i="3"/>
  <c r="M142" i="3"/>
  <c r="M132" i="3"/>
  <c r="M151" i="3"/>
  <c r="M154" i="3"/>
  <c r="M152" i="3"/>
  <c r="M155" i="3"/>
  <c r="M156" i="3"/>
  <c r="M150" i="3"/>
  <c r="M130" i="3"/>
  <c r="M140" i="3"/>
  <c r="M158" i="3"/>
  <c r="M35" i="3"/>
  <c r="M36" i="3"/>
  <c r="M18" i="3"/>
  <c r="M19" i="3"/>
  <c r="M55" i="7"/>
  <c r="M37" i="3"/>
  <c r="M20" i="3"/>
  <c r="M59" i="3"/>
  <c r="M104" i="3"/>
  <c r="M38" i="3"/>
  <c r="M21" i="3"/>
  <c r="M7" i="3"/>
  <c r="M8" i="3"/>
  <c r="M91" i="3"/>
  <c r="M22" i="3"/>
  <c r="AS35" i="3"/>
  <c r="AS36" i="3"/>
  <c r="AS18" i="3"/>
  <c r="AS19" i="3"/>
  <c r="AS37" i="3"/>
  <c r="AS20" i="3"/>
  <c r="AS59" i="3"/>
  <c r="AS104" i="3"/>
  <c r="AS40" i="3"/>
  <c r="AS21" i="3"/>
  <c r="AS7" i="3"/>
  <c r="AS91" i="3"/>
  <c r="AS22" i="3"/>
  <c r="X83" i="3"/>
  <c r="Y83" i="3"/>
  <c r="Z83" i="3"/>
  <c r="AA83" i="3"/>
  <c r="AB83" i="3"/>
  <c r="AC83" i="3"/>
  <c r="AD83" i="3"/>
  <c r="AE83" i="3"/>
  <c r="AF83" i="3"/>
  <c r="AT133" i="3"/>
  <c r="AT131" i="3"/>
  <c r="AT143" i="3"/>
  <c r="AT146" i="3"/>
  <c r="AT144" i="3"/>
  <c r="AT147" i="3"/>
  <c r="AT148" i="3"/>
  <c r="AT142" i="3"/>
  <c r="AT130" i="3"/>
  <c r="AT132" i="3"/>
  <c r="AT151" i="3"/>
  <c r="AT154" i="3"/>
  <c r="AT134" i="3"/>
  <c r="AT152" i="3"/>
  <c r="AT155" i="3"/>
  <c r="AT156" i="3"/>
  <c r="AT150" i="3"/>
  <c r="AT140" i="3"/>
  <c r="AT158" i="3"/>
  <c r="N133" i="3"/>
  <c r="N131" i="3"/>
  <c r="N143" i="3"/>
  <c r="N146" i="3"/>
  <c r="N134" i="3"/>
  <c r="N144" i="3"/>
  <c r="N147" i="3"/>
  <c r="N148" i="3"/>
  <c r="N142" i="3"/>
  <c r="N132" i="3"/>
  <c r="N151" i="3"/>
  <c r="N154" i="3"/>
  <c r="N152" i="3"/>
  <c r="N155" i="3"/>
  <c r="N156" i="3"/>
  <c r="N150" i="3"/>
  <c r="N130" i="3"/>
  <c r="N140" i="3"/>
  <c r="N158" i="3"/>
  <c r="N35" i="3"/>
  <c r="N36" i="3"/>
  <c r="N18" i="3"/>
  <c r="N19" i="3"/>
  <c r="N55" i="7"/>
  <c r="N37" i="3"/>
  <c r="N20" i="3"/>
  <c r="N59" i="3"/>
  <c r="N104" i="3"/>
  <c r="N38" i="3"/>
  <c r="N21" i="3"/>
  <c r="N7" i="3"/>
  <c r="N8" i="3"/>
  <c r="N91" i="3"/>
  <c r="N22" i="3"/>
  <c r="AT35" i="3"/>
  <c r="AT36" i="3"/>
  <c r="AT18" i="3"/>
  <c r="AT19" i="3"/>
  <c r="AT37" i="3"/>
  <c r="AT20" i="3"/>
  <c r="AT59" i="3"/>
  <c r="AT104" i="3"/>
  <c r="AT40" i="3"/>
  <c r="AT21" i="3"/>
  <c r="AT7" i="3"/>
  <c r="AT91" i="3"/>
  <c r="AT22" i="3"/>
  <c r="Y84" i="3"/>
  <c r="Z84" i="3"/>
  <c r="AA84" i="3"/>
  <c r="AB84" i="3"/>
  <c r="AC84" i="3"/>
  <c r="AD84" i="3"/>
  <c r="AE84" i="3"/>
  <c r="AF84" i="3"/>
  <c r="AU133" i="3"/>
  <c r="AU131" i="3"/>
  <c r="AU143" i="3"/>
  <c r="AU146" i="3"/>
  <c r="AU144" i="3"/>
  <c r="AU147" i="3"/>
  <c r="AU148" i="3"/>
  <c r="AU142" i="3"/>
  <c r="AU130" i="3"/>
  <c r="AU132" i="3"/>
  <c r="AU151" i="3"/>
  <c r="AU154" i="3"/>
  <c r="AU134" i="3"/>
  <c r="AU152" i="3"/>
  <c r="AU155" i="3"/>
  <c r="AU156" i="3"/>
  <c r="AU150" i="3"/>
  <c r="AU140" i="3"/>
  <c r="AU158" i="3"/>
  <c r="O133" i="3"/>
  <c r="O131" i="3"/>
  <c r="O143" i="3"/>
  <c r="O146" i="3"/>
  <c r="O134" i="3"/>
  <c r="O144" i="3"/>
  <c r="O147" i="3"/>
  <c r="O148" i="3"/>
  <c r="O142" i="3"/>
  <c r="O132" i="3"/>
  <c r="O151" i="3"/>
  <c r="O154" i="3"/>
  <c r="O152" i="3"/>
  <c r="O155" i="3"/>
  <c r="O156" i="3"/>
  <c r="O150" i="3"/>
  <c r="O130" i="3"/>
  <c r="O140" i="3"/>
  <c r="O158" i="3"/>
  <c r="O35" i="3"/>
  <c r="O36" i="3"/>
  <c r="O18" i="3"/>
  <c r="O19" i="3"/>
  <c r="O55" i="7"/>
  <c r="O37" i="3"/>
  <c r="O20" i="3"/>
  <c r="O59" i="3"/>
  <c r="O104" i="3"/>
  <c r="O38" i="3"/>
  <c r="O21" i="3"/>
  <c r="O7" i="3"/>
  <c r="O8" i="3"/>
  <c r="O91" i="3"/>
  <c r="O22" i="3"/>
  <c r="AU35" i="3"/>
  <c r="AU36" i="3"/>
  <c r="AU18" i="3"/>
  <c r="AU19" i="3"/>
  <c r="AU37" i="3"/>
  <c r="AU20" i="3"/>
  <c r="AU59" i="3"/>
  <c r="AU104" i="3"/>
  <c r="AU40" i="3"/>
  <c r="AU21" i="3"/>
  <c r="AU7" i="3"/>
  <c r="AU91" i="3"/>
  <c r="AU22" i="3"/>
  <c r="Z85" i="3"/>
  <c r="AA85" i="3"/>
  <c r="AB85" i="3"/>
  <c r="AC85" i="3"/>
  <c r="AD85" i="3"/>
  <c r="AE85" i="3"/>
  <c r="AF85" i="3"/>
  <c r="AV133" i="3"/>
  <c r="AV131" i="3"/>
  <c r="AV143" i="3"/>
  <c r="AV146" i="3"/>
  <c r="AV144" i="3"/>
  <c r="AV147" i="3"/>
  <c r="AV148" i="3"/>
  <c r="AV142" i="3"/>
  <c r="AV130" i="3"/>
  <c r="AV132" i="3"/>
  <c r="AV151" i="3"/>
  <c r="AV154" i="3"/>
  <c r="AV134" i="3"/>
  <c r="AV152" i="3"/>
  <c r="AV155" i="3"/>
  <c r="AV156" i="3"/>
  <c r="AV150" i="3"/>
  <c r="AV140" i="3"/>
  <c r="AV158" i="3"/>
  <c r="P133" i="3"/>
  <c r="P131" i="3"/>
  <c r="P143" i="3"/>
  <c r="P146" i="3"/>
  <c r="P134" i="3"/>
  <c r="P144" i="3"/>
  <c r="P147" i="3"/>
  <c r="P148" i="3"/>
  <c r="P142" i="3"/>
  <c r="P132" i="3"/>
  <c r="P151" i="3"/>
  <c r="P154" i="3"/>
  <c r="P152" i="3"/>
  <c r="P155" i="3"/>
  <c r="P156" i="3"/>
  <c r="P150" i="3"/>
  <c r="P130" i="3"/>
  <c r="P140" i="3"/>
  <c r="P158" i="3"/>
  <c r="P35" i="3"/>
  <c r="P36" i="3"/>
  <c r="P18" i="3"/>
  <c r="P19" i="3"/>
  <c r="P55" i="7"/>
  <c r="P37" i="3"/>
  <c r="P20" i="3"/>
  <c r="P59" i="3"/>
  <c r="P104" i="3"/>
  <c r="P38" i="3"/>
  <c r="P21" i="3"/>
  <c r="P7" i="3"/>
  <c r="P8" i="3"/>
  <c r="P91" i="3"/>
  <c r="P22" i="3"/>
  <c r="AV35" i="3"/>
  <c r="AV36" i="3"/>
  <c r="AV18" i="3"/>
  <c r="AV19" i="3"/>
  <c r="AV37" i="3"/>
  <c r="AV20" i="3"/>
  <c r="AV59" i="3"/>
  <c r="AV104" i="3"/>
  <c r="AV40" i="3"/>
  <c r="AV21" i="3"/>
  <c r="AV7" i="3"/>
  <c r="AV91" i="3"/>
  <c r="AV22" i="3"/>
  <c r="AA86" i="3"/>
  <c r="AB86" i="3"/>
  <c r="AC86" i="3"/>
  <c r="AD86" i="3"/>
  <c r="AE86" i="3"/>
  <c r="AF86" i="3"/>
  <c r="AW133" i="3"/>
  <c r="AW131" i="3"/>
  <c r="AW143" i="3"/>
  <c r="AW146" i="3"/>
  <c r="AW144" i="3"/>
  <c r="AW147" i="3"/>
  <c r="AW148" i="3"/>
  <c r="AW142" i="3"/>
  <c r="AW130" i="3"/>
  <c r="AW132" i="3"/>
  <c r="AW151" i="3"/>
  <c r="AW154" i="3"/>
  <c r="AW134" i="3"/>
  <c r="AW152" i="3"/>
  <c r="AW155" i="3"/>
  <c r="AW156" i="3"/>
  <c r="AW150" i="3"/>
  <c r="AW140" i="3"/>
  <c r="AW158" i="3"/>
  <c r="Q133" i="3"/>
  <c r="Q131" i="3"/>
  <c r="Q143" i="3"/>
  <c r="Q146" i="3"/>
  <c r="Q134" i="3"/>
  <c r="Q144" i="3"/>
  <c r="Q147" i="3"/>
  <c r="Q148" i="3"/>
  <c r="Q142" i="3"/>
  <c r="Q132" i="3"/>
  <c r="Q151" i="3"/>
  <c r="Q154" i="3"/>
  <c r="Q152" i="3"/>
  <c r="Q155" i="3"/>
  <c r="Q156" i="3"/>
  <c r="Q150" i="3"/>
  <c r="Q130" i="3"/>
  <c r="Q140" i="3"/>
  <c r="Q158" i="3"/>
  <c r="Q35" i="3"/>
  <c r="Q36" i="3"/>
  <c r="Q18" i="3"/>
  <c r="Q19" i="3"/>
  <c r="Q55" i="7"/>
  <c r="Q37" i="3"/>
  <c r="Q20" i="3"/>
  <c r="Q59" i="3"/>
  <c r="Q104" i="3"/>
  <c r="Q38" i="3"/>
  <c r="Q21" i="3"/>
  <c r="Q7" i="3"/>
  <c r="Q8" i="3"/>
  <c r="Q91" i="3"/>
  <c r="Q22" i="3"/>
  <c r="AW35" i="3"/>
  <c r="AW36" i="3"/>
  <c r="AW18" i="3"/>
  <c r="AW19" i="3"/>
  <c r="AW37" i="3"/>
  <c r="AW20" i="3"/>
  <c r="AW59" i="3"/>
  <c r="AW104" i="3"/>
  <c r="AW40" i="3"/>
  <c r="AW21" i="3"/>
  <c r="AW7" i="3"/>
  <c r="AW91" i="3"/>
  <c r="AW22" i="3"/>
  <c r="AX133" i="3"/>
  <c r="AX131" i="3"/>
  <c r="AX143" i="3"/>
  <c r="AX146" i="3"/>
  <c r="AX144" i="3"/>
  <c r="AX147" i="3"/>
  <c r="AX148" i="3"/>
  <c r="AX142" i="3"/>
  <c r="AX130" i="3"/>
  <c r="AX132" i="3"/>
  <c r="AX151" i="3"/>
  <c r="AX154" i="3"/>
  <c r="AX134" i="3"/>
  <c r="AX152" i="3"/>
  <c r="AX155" i="3"/>
  <c r="AX156" i="3"/>
  <c r="AX150" i="3"/>
  <c r="AX140" i="3"/>
  <c r="AX158" i="3"/>
  <c r="R133" i="3"/>
  <c r="R131" i="3"/>
  <c r="R143" i="3"/>
  <c r="R146" i="3"/>
  <c r="R134" i="3"/>
  <c r="R144" i="3"/>
  <c r="R147" i="3"/>
  <c r="R148" i="3"/>
  <c r="R142" i="3"/>
  <c r="R132" i="3"/>
  <c r="R151" i="3"/>
  <c r="R154" i="3"/>
  <c r="R152" i="3"/>
  <c r="R155" i="3"/>
  <c r="R156" i="3"/>
  <c r="R150" i="3"/>
  <c r="R130" i="3"/>
  <c r="R140" i="3"/>
  <c r="R158" i="3"/>
  <c r="R35" i="3"/>
  <c r="R36" i="3"/>
  <c r="R18" i="3"/>
  <c r="R19" i="3"/>
  <c r="R55" i="7"/>
  <c r="R37" i="3"/>
  <c r="R20" i="3"/>
  <c r="R59" i="3"/>
  <c r="R104" i="3"/>
  <c r="R38" i="3"/>
  <c r="R21" i="3"/>
  <c r="R80" i="7"/>
  <c r="R106" i="7"/>
  <c r="R7" i="3"/>
  <c r="R8" i="3"/>
  <c r="R81" i="7"/>
  <c r="R83" i="7"/>
  <c r="R100" i="7"/>
  <c r="R103" i="7"/>
  <c r="R109" i="7"/>
  <c r="R112" i="7"/>
  <c r="R23" i="3"/>
  <c r="R91" i="3"/>
  <c r="R22" i="3"/>
  <c r="R17" i="3"/>
  <c r="R16" i="3"/>
  <c r="AX35" i="3"/>
  <c r="AX36" i="3"/>
  <c r="AX18" i="3"/>
  <c r="AX19" i="3"/>
  <c r="AX37" i="3"/>
  <c r="AX20" i="3"/>
  <c r="AX59" i="3"/>
  <c r="AX104" i="3"/>
  <c r="AX40" i="3"/>
  <c r="AX21" i="3"/>
  <c r="AX7" i="3"/>
  <c r="AX91" i="3"/>
  <c r="AX22" i="3"/>
  <c r="E91" i="7"/>
  <c r="E89" i="7"/>
  <c r="E90" i="7"/>
  <c r="R89" i="7"/>
  <c r="R107" i="7"/>
  <c r="E92" i="7"/>
  <c r="AX8" i="3"/>
  <c r="R90" i="7"/>
  <c r="R92" i="7"/>
  <c r="R101" i="7"/>
  <c r="R104" i="7"/>
  <c r="R110" i="7"/>
  <c r="R113" i="7"/>
  <c r="AX23" i="3"/>
  <c r="AX17" i="3"/>
  <c r="AX16" i="3"/>
  <c r="R20" i="7"/>
  <c r="R21" i="7"/>
  <c r="R11" i="7"/>
  <c r="R12" i="7"/>
  <c r="R30" i="7"/>
  <c r="R35" i="7"/>
  <c r="R63" i="7"/>
  <c r="R64" i="7"/>
  <c r="R62" i="7"/>
  <c r="R67" i="7"/>
  <c r="AY133" i="3"/>
  <c r="AY131" i="3"/>
  <c r="AY143" i="3"/>
  <c r="AY146" i="3"/>
  <c r="AY144" i="3"/>
  <c r="AY147" i="3"/>
  <c r="AY148" i="3"/>
  <c r="AY142" i="3"/>
  <c r="AY130" i="3"/>
  <c r="AY132" i="3"/>
  <c r="AY151" i="3"/>
  <c r="AY154" i="3"/>
  <c r="AY134" i="3"/>
  <c r="AY152" i="3"/>
  <c r="AY155" i="3"/>
  <c r="AY156" i="3"/>
  <c r="AY150" i="3"/>
  <c r="AY140" i="3"/>
  <c r="AY158" i="3"/>
  <c r="S133" i="3"/>
  <c r="S131" i="3"/>
  <c r="S143" i="3"/>
  <c r="S146" i="3"/>
  <c r="S134" i="3"/>
  <c r="S144" i="3"/>
  <c r="S147" i="3"/>
  <c r="S148" i="3"/>
  <c r="S142" i="3"/>
  <c r="S132" i="3"/>
  <c r="S151" i="3"/>
  <c r="S154" i="3"/>
  <c r="S152" i="3"/>
  <c r="S155" i="3"/>
  <c r="S156" i="3"/>
  <c r="S150" i="3"/>
  <c r="S130" i="3"/>
  <c r="S140" i="3"/>
  <c r="S158" i="3"/>
  <c r="S35" i="3"/>
  <c r="S36" i="3"/>
  <c r="S18" i="3"/>
  <c r="S19" i="3"/>
  <c r="S55" i="7"/>
  <c r="S37" i="3"/>
  <c r="S20" i="3"/>
  <c r="S59" i="3"/>
  <c r="S104" i="3"/>
  <c r="S38" i="3"/>
  <c r="S21" i="3"/>
  <c r="S80" i="7"/>
  <c r="S106" i="7"/>
  <c r="S7" i="3"/>
  <c r="S8" i="3"/>
  <c r="S81" i="7"/>
  <c r="S83" i="7"/>
  <c r="S100" i="7"/>
  <c r="S103" i="7"/>
  <c r="S109" i="7"/>
  <c r="S112" i="7"/>
  <c r="S23" i="3"/>
  <c r="S91" i="3"/>
  <c r="S22" i="3"/>
  <c r="S17" i="3"/>
  <c r="S16" i="3"/>
  <c r="AY35" i="3"/>
  <c r="AY36" i="3"/>
  <c r="AY18" i="3"/>
  <c r="AY19" i="3"/>
  <c r="AY37" i="3"/>
  <c r="AY20" i="3"/>
  <c r="AY59" i="3"/>
  <c r="AY104" i="3"/>
  <c r="AY40" i="3"/>
  <c r="AY21" i="3"/>
  <c r="AY7" i="3"/>
  <c r="AY91" i="3"/>
  <c r="AY22" i="3"/>
  <c r="S89" i="7"/>
  <c r="S107" i="7"/>
  <c r="AY8" i="3"/>
  <c r="S90" i="7"/>
  <c r="S92" i="7"/>
  <c r="S101" i="7"/>
  <c r="S104" i="7"/>
  <c r="S110" i="7"/>
  <c r="S113" i="7"/>
  <c r="AY23" i="3"/>
  <c r="AY17" i="3"/>
  <c r="AY16" i="3"/>
  <c r="S20" i="7"/>
  <c r="S21" i="7"/>
  <c r="S11" i="7"/>
  <c r="S12" i="7"/>
  <c r="S30" i="7"/>
  <c r="S35" i="7"/>
  <c r="S63" i="7"/>
  <c r="S64" i="7"/>
  <c r="S62" i="7"/>
  <c r="S67" i="7"/>
  <c r="AZ133" i="3"/>
  <c r="AZ131" i="3"/>
  <c r="AZ143" i="3"/>
  <c r="AZ146" i="3"/>
  <c r="AZ144" i="3"/>
  <c r="AZ147" i="3"/>
  <c r="AZ148" i="3"/>
  <c r="AZ142" i="3"/>
  <c r="AZ130" i="3"/>
  <c r="AZ132" i="3"/>
  <c r="AZ151" i="3"/>
  <c r="AZ154" i="3"/>
  <c r="AZ134" i="3"/>
  <c r="AZ152" i="3"/>
  <c r="AZ155" i="3"/>
  <c r="AZ156" i="3"/>
  <c r="AZ150" i="3"/>
  <c r="AZ140" i="3"/>
  <c r="AZ158" i="3"/>
  <c r="T133" i="3"/>
  <c r="T131" i="3"/>
  <c r="T143" i="3"/>
  <c r="T146" i="3"/>
  <c r="T134" i="3"/>
  <c r="T144" i="3"/>
  <c r="T147" i="3"/>
  <c r="T148" i="3"/>
  <c r="T142" i="3"/>
  <c r="T132" i="3"/>
  <c r="T151" i="3"/>
  <c r="T154" i="3"/>
  <c r="T152" i="3"/>
  <c r="T155" i="3"/>
  <c r="T156" i="3"/>
  <c r="T150" i="3"/>
  <c r="T130" i="3"/>
  <c r="T140" i="3"/>
  <c r="T158" i="3"/>
  <c r="T35" i="3"/>
  <c r="T36" i="3"/>
  <c r="T18" i="3"/>
  <c r="T19" i="3"/>
  <c r="T55" i="7"/>
  <c r="T37" i="3"/>
  <c r="T20" i="3"/>
  <c r="T59" i="3"/>
  <c r="T104" i="3"/>
  <c r="T38" i="3"/>
  <c r="T21" i="3"/>
  <c r="T80" i="7"/>
  <c r="T106" i="7"/>
  <c r="T7" i="3"/>
  <c r="T8" i="3"/>
  <c r="T81" i="7"/>
  <c r="T83" i="7"/>
  <c r="T100" i="7"/>
  <c r="T103" i="7"/>
  <c r="T109" i="7"/>
  <c r="T112" i="7"/>
  <c r="T23" i="3"/>
  <c r="T91" i="3"/>
  <c r="T22" i="3"/>
  <c r="T17" i="3"/>
  <c r="T16" i="3"/>
  <c r="AZ35" i="3"/>
  <c r="AZ36" i="3"/>
  <c r="AZ18" i="3"/>
  <c r="AZ19" i="3"/>
  <c r="AZ37" i="3"/>
  <c r="AZ20" i="3"/>
  <c r="AZ59" i="3"/>
  <c r="AZ104" i="3"/>
  <c r="AZ40" i="3"/>
  <c r="AZ21" i="3"/>
  <c r="AZ7" i="3"/>
  <c r="AZ91" i="3"/>
  <c r="AZ22" i="3"/>
  <c r="T89" i="7"/>
  <c r="T107" i="7"/>
  <c r="AZ8" i="3"/>
  <c r="T90" i="7"/>
  <c r="T92" i="7"/>
  <c r="T101" i="7"/>
  <c r="T104" i="7"/>
  <c r="T110" i="7"/>
  <c r="T113" i="7"/>
  <c r="AZ23" i="3"/>
  <c r="AZ17" i="3"/>
  <c r="AZ16" i="3"/>
  <c r="T20" i="7"/>
  <c r="T21" i="7"/>
  <c r="T11" i="7"/>
  <c r="T12" i="7"/>
  <c r="T30" i="7"/>
  <c r="T35" i="7"/>
  <c r="T63" i="7"/>
  <c r="T64" i="7"/>
  <c r="T62" i="7"/>
  <c r="T67" i="7"/>
  <c r="BA133" i="3"/>
  <c r="BA131" i="3"/>
  <c r="BA143" i="3"/>
  <c r="BA146" i="3"/>
  <c r="BA144" i="3"/>
  <c r="BA147" i="3"/>
  <c r="BA148" i="3"/>
  <c r="BA142" i="3"/>
  <c r="BA130" i="3"/>
  <c r="BA132" i="3"/>
  <c r="BA151" i="3"/>
  <c r="BA154" i="3"/>
  <c r="BA134" i="3"/>
  <c r="BA152" i="3"/>
  <c r="BA155" i="3"/>
  <c r="BA156" i="3"/>
  <c r="BA150" i="3"/>
  <c r="BA140" i="3"/>
  <c r="BA158" i="3"/>
  <c r="U133" i="3"/>
  <c r="U131" i="3"/>
  <c r="U143" i="3"/>
  <c r="U146" i="3"/>
  <c r="U134" i="3"/>
  <c r="U144" i="3"/>
  <c r="U147" i="3"/>
  <c r="U148" i="3"/>
  <c r="U142" i="3"/>
  <c r="U132" i="3"/>
  <c r="U151" i="3"/>
  <c r="U154" i="3"/>
  <c r="U152" i="3"/>
  <c r="U155" i="3"/>
  <c r="U156" i="3"/>
  <c r="U150" i="3"/>
  <c r="U130" i="3"/>
  <c r="U140" i="3"/>
  <c r="U158" i="3"/>
  <c r="U35" i="3"/>
  <c r="U36" i="3"/>
  <c r="U18" i="3"/>
  <c r="U19" i="3"/>
  <c r="U55" i="7"/>
  <c r="U37" i="3"/>
  <c r="U20" i="3"/>
  <c r="U59" i="3"/>
  <c r="U104" i="3"/>
  <c r="U38" i="3"/>
  <c r="U21" i="3"/>
  <c r="U80" i="7"/>
  <c r="U106" i="7"/>
  <c r="U7" i="3"/>
  <c r="U8" i="3"/>
  <c r="U81" i="7"/>
  <c r="U83" i="7"/>
  <c r="U100" i="7"/>
  <c r="U103" i="7"/>
  <c r="U109" i="7"/>
  <c r="U112" i="7"/>
  <c r="U23" i="3"/>
  <c r="U91" i="3"/>
  <c r="U22" i="3"/>
  <c r="U17" i="3"/>
  <c r="U16" i="3"/>
  <c r="BA35" i="3"/>
  <c r="BA36" i="3"/>
  <c r="BA18" i="3"/>
  <c r="BA19" i="3"/>
  <c r="BA37" i="3"/>
  <c r="BA20" i="3"/>
  <c r="BA59" i="3"/>
  <c r="BA104" i="3"/>
  <c r="BA40" i="3"/>
  <c r="BA21" i="3"/>
  <c r="BA7" i="3"/>
  <c r="BA91" i="3"/>
  <c r="BA22" i="3"/>
  <c r="U89" i="7"/>
  <c r="U107" i="7"/>
  <c r="BA8" i="3"/>
  <c r="U90" i="7"/>
  <c r="U92" i="7"/>
  <c r="U101" i="7"/>
  <c r="U104" i="7"/>
  <c r="U110" i="7"/>
  <c r="U113" i="7"/>
  <c r="BA23" i="3"/>
  <c r="BA17" i="3"/>
  <c r="BA16" i="3"/>
  <c r="U20" i="7"/>
  <c r="U21" i="7"/>
  <c r="U11" i="7"/>
  <c r="U12" i="7"/>
  <c r="U30" i="7"/>
  <c r="U35" i="7"/>
  <c r="U63" i="7"/>
  <c r="U64" i="7"/>
  <c r="U62" i="7"/>
  <c r="U67" i="7"/>
  <c r="BB133" i="3"/>
  <c r="BB131" i="3"/>
  <c r="BB143" i="3"/>
  <c r="BB146" i="3"/>
  <c r="BB144" i="3"/>
  <c r="BB147" i="3"/>
  <c r="BB148" i="3"/>
  <c r="BB142" i="3"/>
  <c r="BB130" i="3"/>
  <c r="BB132" i="3"/>
  <c r="BB151" i="3"/>
  <c r="BB154" i="3"/>
  <c r="BB134" i="3"/>
  <c r="BB152" i="3"/>
  <c r="BB155" i="3"/>
  <c r="BB156" i="3"/>
  <c r="BB150" i="3"/>
  <c r="BB140" i="3"/>
  <c r="BB158" i="3"/>
  <c r="V133" i="3"/>
  <c r="V131" i="3"/>
  <c r="V143" i="3"/>
  <c r="V146" i="3"/>
  <c r="V134" i="3"/>
  <c r="V144" i="3"/>
  <c r="V147" i="3"/>
  <c r="V148" i="3"/>
  <c r="V142" i="3"/>
  <c r="V132" i="3"/>
  <c r="V151" i="3"/>
  <c r="V154" i="3"/>
  <c r="V152" i="3"/>
  <c r="V155" i="3"/>
  <c r="V156" i="3"/>
  <c r="V150" i="3"/>
  <c r="V130" i="3"/>
  <c r="V140" i="3"/>
  <c r="V158" i="3"/>
  <c r="V35" i="3"/>
  <c r="V36" i="3"/>
  <c r="V18" i="3"/>
  <c r="V19" i="3"/>
  <c r="V55" i="7"/>
  <c r="V37" i="3"/>
  <c r="V20" i="3"/>
  <c r="V59" i="3"/>
  <c r="V104" i="3"/>
  <c r="V38" i="3"/>
  <c r="V21" i="3"/>
  <c r="V80" i="7"/>
  <c r="V106" i="7"/>
  <c r="V7" i="3"/>
  <c r="V8" i="3"/>
  <c r="V81" i="7"/>
  <c r="V83" i="7"/>
  <c r="V100" i="7"/>
  <c r="V103" i="7"/>
  <c r="V109" i="7"/>
  <c r="V112" i="7"/>
  <c r="V23" i="3"/>
  <c r="V91" i="3"/>
  <c r="V22" i="3"/>
  <c r="V17" i="3"/>
  <c r="V16" i="3"/>
  <c r="BB35" i="3"/>
  <c r="BB36" i="3"/>
  <c r="BB18" i="3"/>
  <c r="BB19" i="3"/>
  <c r="BB37" i="3"/>
  <c r="BB20" i="3"/>
  <c r="BB59" i="3"/>
  <c r="BB104" i="3"/>
  <c r="BB40" i="3"/>
  <c r="BB21" i="3"/>
  <c r="BB7" i="3"/>
  <c r="BB91" i="3"/>
  <c r="BB22" i="3"/>
  <c r="V89" i="7"/>
  <c r="V107" i="7"/>
  <c r="BB8" i="3"/>
  <c r="V90" i="7"/>
  <c r="V92" i="7"/>
  <c r="V101" i="7"/>
  <c r="V104" i="7"/>
  <c r="V110" i="7"/>
  <c r="V113" i="7"/>
  <c r="BB23" i="3"/>
  <c r="BB17" i="3"/>
  <c r="BB16" i="3"/>
  <c r="V20" i="7"/>
  <c r="V21" i="7"/>
  <c r="V11" i="7"/>
  <c r="V12" i="7"/>
  <c r="V30" i="7"/>
  <c r="V35" i="7"/>
  <c r="V63" i="7"/>
  <c r="V64" i="7"/>
  <c r="V62" i="7"/>
  <c r="V67" i="7"/>
  <c r="BC133" i="3"/>
  <c r="BC131" i="3"/>
  <c r="BC143" i="3"/>
  <c r="BC146" i="3"/>
  <c r="BC144" i="3"/>
  <c r="BC147" i="3"/>
  <c r="BC148" i="3"/>
  <c r="BC142" i="3"/>
  <c r="BC130" i="3"/>
  <c r="BC132" i="3"/>
  <c r="BC151" i="3"/>
  <c r="BC154" i="3"/>
  <c r="BC134" i="3"/>
  <c r="BC152" i="3"/>
  <c r="BC155" i="3"/>
  <c r="BC156" i="3"/>
  <c r="BC150" i="3"/>
  <c r="BC140" i="3"/>
  <c r="BC158" i="3"/>
  <c r="W133" i="3"/>
  <c r="W131" i="3"/>
  <c r="W143" i="3"/>
  <c r="W146" i="3"/>
  <c r="W134" i="3"/>
  <c r="W144" i="3"/>
  <c r="W147" i="3"/>
  <c r="W148" i="3"/>
  <c r="W142" i="3"/>
  <c r="W132" i="3"/>
  <c r="W151" i="3"/>
  <c r="W154" i="3"/>
  <c r="W152" i="3"/>
  <c r="W155" i="3"/>
  <c r="W156" i="3"/>
  <c r="W150" i="3"/>
  <c r="W130" i="3"/>
  <c r="W140" i="3"/>
  <c r="W158" i="3"/>
  <c r="W35" i="3"/>
  <c r="W36" i="3"/>
  <c r="W18" i="3"/>
  <c r="W19" i="3"/>
  <c r="W55" i="7"/>
  <c r="W37" i="3"/>
  <c r="W20" i="3"/>
  <c r="W59" i="3"/>
  <c r="W104" i="3"/>
  <c r="W38" i="3"/>
  <c r="W21" i="3"/>
  <c r="W80" i="7"/>
  <c r="W106" i="7"/>
  <c r="W7" i="3"/>
  <c r="W8" i="3"/>
  <c r="W81" i="7"/>
  <c r="W83" i="7"/>
  <c r="W100" i="7"/>
  <c r="W103" i="7"/>
  <c r="W109" i="7"/>
  <c r="W112" i="7"/>
  <c r="W23" i="3"/>
  <c r="W91" i="3"/>
  <c r="W22" i="3"/>
  <c r="W17" i="3"/>
  <c r="W16" i="3"/>
  <c r="BC35" i="3"/>
  <c r="BC36" i="3"/>
  <c r="BC18" i="3"/>
  <c r="BC19" i="3"/>
  <c r="BC37" i="3"/>
  <c r="BC20" i="3"/>
  <c r="BC59" i="3"/>
  <c r="BC104" i="3"/>
  <c r="BC40" i="3"/>
  <c r="BC21" i="3"/>
  <c r="BC7" i="3"/>
  <c r="BC91" i="3"/>
  <c r="BC22" i="3"/>
  <c r="W89" i="7"/>
  <c r="W107" i="7"/>
  <c r="BC8" i="3"/>
  <c r="W90" i="7"/>
  <c r="W92" i="7"/>
  <c r="W101" i="7"/>
  <c r="W104" i="7"/>
  <c r="W110" i="7"/>
  <c r="W113" i="7"/>
  <c r="BC23" i="3"/>
  <c r="BC17" i="3"/>
  <c r="BC16" i="3"/>
  <c r="W20" i="7"/>
  <c r="W21" i="7"/>
  <c r="W11" i="7"/>
  <c r="W12" i="7"/>
  <c r="W30" i="7"/>
  <c r="W35" i="7"/>
  <c r="W63" i="7"/>
  <c r="W64" i="7"/>
  <c r="W62" i="7"/>
  <c r="W67" i="7"/>
  <c r="BD133" i="3"/>
  <c r="BD131" i="3"/>
  <c r="BD143" i="3"/>
  <c r="BD146" i="3"/>
  <c r="BD144" i="3"/>
  <c r="BD147" i="3"/>
  <c r="BD148" i="3"/>
  <c r="BD142" i="3"/>
  <c r="BD130" i="3"/>
  <c r="BD132" i="3"/>
  <c r="BD151" i="3"/>
  <c r="BD154" i="3"/>
  <c r="BD134" i="3"/>
  <c r="BD152" i="3"/>
  <c r="BD155" i="3"/>
  <c r="BD156" i="3"/>
  <c r="BD150" i="3"/>
  <c r="BD140" i="3"/>
  <c r="BD158" i="3"/>
  <c r="X133" i="3"/>
  <c r="X131" i="3"/>
  <c r="X143" i="3"/>
  <c r="X146" i="3"/>
  <c r="X134" i="3"/>
  <c r="X144" i="3"/>
  <c r="X147" i="3"/>
  <c r="X148" i="3"/>
  <c r="X142" i="3"/>
  <c r="X132" i="3"/>
  <c r="X151" i="3"/>
  <c r="X154" i="3"/>
  <c r="X152" i="3"/>
  <c r="X155" i="3"/>
  <c r="X156" i="3"/>
  <c r="X150" i="3"/>
  <c r="X130" i="3"/>
  <c r="X140" i="3"/>
  <c r="X158" i="3"/>
  <c r="X35" i="3"/>
  <c r="X36" i="3"/>
  <c r="X18" i="3"/>
  <c r="X19" i="3"/>
  <c r="X55" i="7"/>
  <c r="X37" i="3"/>
  <c r="X20" i="3"/>
  <c r="X59" i="3"/>
  <c r="X104" i="3"/>
  <c r="X38" i="3"/>
  <c r="X21" i="3"/>
  <c r="X80" i="7"/>
  <c r="X106" i="7"/>
  <c r="X7" i="3"/>
  <c r="X8" i="3"/>
  <c r="X81" i="7"/>
  <c r="X83" i="7"/>
  <c r="X100" i="7"/>
  <c r="X103" i="7"/>
  <c r="X109" i="7"/>
  <c r="X112" i="7"/>
  <c r="X23" i="3"/>
  <c r="X91" i="3"/>
  <c r="X22" i="3"/>
  <c r="X17" i="3"/>
  <c r="X16" i="3"/>
  <c r="BD35" i="3"/>
  <c r="BD36" i="3"/>
  <c r="BD18" i="3"/>
  <c r="BD19" i="3"/>
  <c r="BD37" i="3"/>
  <c r="BD20" i="3"/>
  <c r="BD59" i="3"/>
  <c r="BD104" i="3"/>
  <c r="BD40" i="3"/>
  <c r="BD21" i="3"/>
  <c r="BD7" i="3"/>
  <c r="BD91" i="3"/>
  <c r="BD22" i="3"/>
  <c r="X89" i="7"/>
  <c r="X107" i="7"/>
  <c r="BD8" i="3"/>
  <c r="X90" i="7"/>
  <c r="X92" i="7"/>
  <c r="X101" i="7"/>
  <c r="X104" i="7"/>
  <c r="X110" i="7"/>
  <c r="X113" i="7"/>
  <c r="BD23" i="3"/>
  <c r="BD17" i="3"/>
  <c r="BD16" i="3"/>
  <c r="X20" i="7"/>
  <c r="X21" i="7"/>
  <c r="X11" i="7"/>
  <c r="X12" i="7"/>
  <c r="X30" i="7"/>
  <c r="X35" i="7"/>
  <c r="X63" i="7"/>
  <c r="X64" i="7"/>
  <c r="X62" i="7"/>
  <c r="X67" i="7"/>
  <c r="BE133" i="3"/>
  <c r="BE131" i="3"/>
  <c r="BE143" i="3"/>
  <c r="BE146" i="3"/>
  <c r="BE144" i="3"/>
  <c r="BE147" i="3"/>
  <c r="BE148" i="3"/>
  <c r="BE142" i="3"/>
  <c r="BE130" i="3"/>
  <c r="BE132" i="3"/>
  <c r="BE151" i="3"/>
  <c r="BE154" i="3"/>
  <c r="BE134" i="3"/>
  <c r="BE152" i="3"/>
  <c r="BE155" i="3"/>
  <c r="BE156" i="3"/>
  <c r="BE150" i="3"/>
  <c r="BE140" i="3"/>
  <c r="BE158" i="3"/>
  <c r="Y133" i="3"/>
  <c r="Y131" i="3"/>
  <c r="Y143" i="3"/>
  <c r="Y146" i="3"/>
  <c r="Y134" i="3"/>
  <c r="Y144" i="3"/>
  <c r="Y147" i="3"/>
  <c r="Y148" i="3"/>
  <c r="Y142" i="3"/>
  <c r="Y132" i="3"/>
  <c r="Y151" i="3"/>
  <c r="Y154" i="3"/>
  <c r="Y152" i="3"/>
  <c r="Y155" i="3"/>
  <c r="Y156" i="3"/>
  <c r="Y150" i="3"/>
  <c r="Y130" i="3"/>
  <c r="Y140" i="3"/>
  <c r="Y158" i="3"/>
  <c r="Y35" i="3"/>
  <c r="Y36" i="3"/>
  <c r="Y18" i="3"/>
  <c r="Y19" i="3"/>
  <c r="Y55" i="7"/>
  <c r="Y37" i="3"/>
  <c r="Y20" i="3"/>
  <c r="Y59" i="3"/>
  <c r="Y104" i="3"/>
  <c r="Y38" i="3"/>
  <c r="Y21" i="3"/>
  <c r="Y80" i="7"/>
  <c r="Y106" i="7"/>
  <c r="Y7" i="3"/>
  <c r="Y8" i="3"/>
  <c r="Y81" i="7"/>
  <c r="Y83" i="7"/>
  <c r="Y100" i="7"/>
  <c r="Y103" i="7"/>
  <c r="Y109" i="7"/>
  <c r="Y112" i="7"/>
  <c r="Y23" i="3"/>
  <c r="Y91" i="3"/>
  <c r="Y22" i="3"/>
  <c r="Y17" i="3"/>
  <c r="Y16" i="3"/>
  <c r="BE35" i="3"/>
  <c r="BE36" i="3"/>
  <c r="BE18" i="3"/>
  <c r="BE19" i="3"/>
  <c r="BE37" i="3"/>
  <c r="BE20" i="3"/>
  <c r="BE59" i="3"/>
  <c r="BE104" i="3"/>
  <c r="BE40" i="3"/>
  <c r="BE21" i="3"/>
  <c r="BE7" i="3"/>
  <c r="BE91" i="3"/>
  <c r="BE22" i="3"/>
  <c r="Y89" i="7"/>
  <c r="Y107" i="7"/>
  <c r="BE8" i="3"/>
  <c r="Y90" i="7"/>
  <c r="Y92" i="7"/>
  <c r="Y101" i="7"/>
  <c r="Y104" i="7"/>
  <c r="Y110" i="7"/>
  <c r="Y113" i="7"/>
  <c r="BE23" i="3"/>
  <c r="BE17" i="3"/>
  <c r="BE16" i="3"/>
  <c r="Y20" i="7"/>
  <c r="Y21" i="7"/>
  <c r="Y11" i="7"/>
  <c r="Y12" i="7"/>
  <c r="Y30" i="7"/>
  <c r="Y35" i="7"/>
  <c r="Y63" i="7"/>
  <c r="Y64" i="7"/>
  <c r="Y62" i="7"/>
  <c r="Y67" i="7"/>
  <c r="BF133" i="3"/>
  <c r="BF131" i="3"/>
  <c r="BF143" i="3"/>
  <c r="BF146" i="3"/>
  <c r="BF144" i="3"/>
  <c r="BF147" i="3"/>
  <c r="BF148" i="3"/>
  <c r="BF142" i="3"/>
  <c r="BF130" i="3"/>
  <c r="BF132" i="3"/>
  <c r="BF151" i="3"/>
  <c r="BF154" i="3"/>
  <c r="BF134" i="3"/>
  <c r="BF152" i="3"/>
  <c r="BF155" i="3"/>
  <c r="BF156" i="3"/>
  <c r="BF150" i="3"/>
  <c r="BF140" i="3"/>
  <c r="BF158" i="3"/>
  <c r="Z133" i="3"/>
  <c r="Z131" i="3"/>
  <c r="Z143" i="3"/>
  <c r="Z146" i="3"/>
  <c r="Z134" i="3"/>
  <c r="Z144" i="3"/>
  <c r="Z147" i="3"/>
  <c r="Z148" i="3"/>
  <c r="Z142" i="3"/>
  <c r="Z132" i="3"/>
  <c r="Z151" i="3"/>
  <c r="Z154" i="3"/>
  <c r="Z152" i="3"/>
  <c r="Z155" i="3"/>
  <c r="Z156" i="3"/>
  <c r="Z150" i="3"/>
  <c r="Z130" i="3"/>
  <c r="Z140" i="3"/>
  <c r="Z158" i="3"/>
  <c r="Z35" i="3"/>
  <c r="Z36" i="3"/>
  <c r="Z18" i="3"/>
  <c r="Z19" i="3"/>
  <c r="Z55" i="7"/>
  <c r="Z37" i="3"/>
  <c r="Z20" i="3"/>
  <c r="Z59" i="3"/>
  <c r="Z104" i="3"/>
  <c r="Z38" i="3"/>
  <c r="Z21" i="3"/>
  <c r="Z80" i="7"/>
  <c r="Z106" i="7"/>
  <c r="Z7" i="3"/>
  <c r="Z8" i="3"/>
  <c r="Z81" i="7"/>
  <c r="Z83" i="7"/>
  <c r="Z100" i="7"/>
  <c r="Z103" i="7"/>
  <c r="Z109" i="7"/>
  <c r="Z112" i="7"/>
  <c r="Z23" i="3"/>
  <c r="Z91" i="3"/>
  <c r="Z22" i="3"/>
  <c r="Z17" i="3"/>
  <c r="Z16" i="3"/>
  <c r="BF35" i="3"/>
  <c r="BF36" i="3"/>
  <c r="BF18" i="3"/>
  <c r="BF19" i="3"/>
  <c r="BF37" i="3"/>
  <c r="BF20" i="3"/>
  <c r="BF59" i="3"/>
  <c r="BF104" i="3"/>
  <c r="BF40" i="3"/>
  <c r="BF21" i="3"/>
  <c r="BF7" i="3"/>
  <c r="BF91" i="3"/>
  <c r="BF22" i="3"/>
  <c r="Z89" i="7"/>
  <c r="Z107" i="7"/>
  <c r="BF8" i="3"/>
  <c r="Z90" i="7"/>
  <c r="Z92" i="7"/>
  <c r="Z101" i="7"/>
  <c r="Z104" i="7"/>
  <c r="Z110" i="7"/>
  <c r="Z113" i="7"/>
  <c r="BF23" i="3"/>
  <c r="BF17" i="3"/>
  <c r="BF16" i="3"/>
  <c r="Z20" i="7"/>
  <c r="Z21" i="7"/>
  <c r="Z11" i="7"/>
  <c r="Z12" i="7"/>
  <c r="Z30" i="7"/>
  <c r="Z35" i="7"/>
  <c r="Z63" i="7"/>
  <c r="Z64" i="7"/>
  <c r="Z62" i="7"/>
  <c r="Z67" i="7"/>
  <c r="BG133" i="3"/>
  <c r="BG131" i="3"/>
  <c r="BG143" i="3"/>
  <c r="BG146" i="3"/>
  <c r="BG144" i="3"/>
  <c r="BG147" i="3"/>
  <c r="BG148" i="3"/>
  <c r="BG142" i="3"/>
  <c r="BG130" i="3"/>
  <c r="BG132" i="3"/>
  <c r="BG151" i="3"/>
  <c r="BG154" i="3"/>
  <c r="BG134" i="3"/>
  <c r="BG152" i="3"/>
  <c r="BG155" i="3"/>
  <c r="BG156" i="3"/>
  <c r="BG150" i="3"/>
  <c r="BG140" i="3"/>
  <c r="BG158" i="3"/>
  <c r="AA133" i="3"/>
  <c r="AA131" i="3"/>
  <c r="AA143" i="3"/>
  <c r="AA146" i="3"/>
  <c r="AA134" i="3"/>
  <c r="AA144" i="3"/>
  <c r="AA147" i="3"/>
  <c r="AA148" i="3"/>
  <c r="AA142" i="3"/>
  <c r="AA132" i="3"/>
  <c r="AA151" i="3"/>
  <c r="AA154" i="3"/>
  <c r="AA152" i="3"/>
  <c r="AA155" i="3"/>
  <c r="AA156" i="3"/>
  <c r="AA150" i="3"/>
  <c r="AA130" i="3"/>
  <c r="AA140" i="3"/>
  <c r="AA158" i="3"/>
  <c r="AA35" i="3"/>
  <c r="AA36" i="3"/>
  <c r="AA18" i="3"/>
  <c r="AA19" i="3"/>
  <c r="AA55" i="7"/>
  <c r="AA37" i="3"/>
  <c r="AA20" i="3"/>
  <c r="AA59" i="3"/>
  <c r="AA104" i="3"/>
  <c r="AA38" i="3"/>
  <c r="AA21" i="3"/>
  <c r="AA80" i="7"/>
  <c r="AA106" i="7"/>
  <c r="AA7" i="3"/>
  <c r="AA8" i="3"/>
  <c r="AA81" i="7"/>
  <c r="AA83" i="7"/>
  <c r="AA100" i="7"/>
  <c r="AA103" i="7"/>
  <c r="AA109" i="7"/>
  <c r="AA112" i="7"/>
  <c r="AA23" i="3"/>
  <c r="AA91" i="3"/>
  <c r="AA22" i="3"/>
  <c r="AA17" i="3"/>
  <c r="AA16" i="3"/>
  <c r="BG35" i="3"/>
  <c r="BG36" i="3"/>
  <c r="BG18" i="3"/>
  <c r="BG19" i="3"/>
  <c r="BG37" i="3"/>
  <c r="BG20" i="3"/>
  <c r="BG59" i="3"/>
  <c r="BG104" i="3"/>
  <c r="BG40" i="3"/>
  <c r="BG21" i="3"/>
  <c r="BG7" i="3"/>
  <c r="BG91" i="3"/>
  <c r="BG22" i="3"/>
  <c r="AA89" i="7"/>
  <c r="AA107" i="7"/>
  <c r="BG8" i="3"/>
  <c r="AA90" i="7"/>
  <c r="AA92" i="7"/>
  <c r="AA101" i="7"/>
  <c r="AA104" i="7"/>
  <c r="AA110" i="7"/>
  <c r="AA113" i="7"/>
  <c r="BG23" i="3"/>
  <c r="BG17" i="3"/>
  <c r="BG16" i="3"/>
  <c r="AA20" i="7"/>
  <c r="AA21" i="7"/>
  <c r="AA11" i="7"/>
  <c r="AA12" i="7"/>
  <c r="AA30" i="7"/>
  <c r="AA35" i="7"/>
  <c r="AA63" i="7"/>
  <c r="AA64" i="7"/>
  <c r="AA62" i="7"/>
  <c r="AA67" i="7"/>
  <c r="BH133" i="3"/>
  <c r="BH131" i="3"/>
  <c r="BH143" i="3"/>
  <c r="BH146" i="3"/>
  <c r="BH144" i="3"/>
  <c r="BH147" i="3"/>
  <c r="BH148" i="3"/>
  <c r="BH142" i="3"/>
  <c r="BH130" i="3"/>
  <c r="BH132" i="3"/>
  <c r="BH151" i="3"/>
  <c r="BH154" i="3"/>
  <c r="BH134" i="3"/>
  <c r="BH152" i="3"/>
  <c r="BH155" i="3"/>
  <c r="BH156" i="3"/>
  <c r="BH150" i="3"/>
  <c r="BH140" i="3"/>
  <c r="BH158" i="3"/>
  <c r="AB133" i="3"/>
  <c r="AB131" i="3"/>
  <c r="AB143" i="3"/>
  <c r="AB146" i="3"/>
  <c r="AB134" i="3"/>
  <c r="AB144" i="3"/>
  <c r="AB147" i="3"/>
  <c r="AB148" i="3"/>
  <c r="AB142" i="3"/>
  <c r="AB132" i="3"/>
  <c r="AB151" i="3"/>
  <c r="AB154" i="3"/>
  <c r="AB152" i="3"/>
  <c r="AB155" i="3"/>
  <c r="AB156" i="3"/>
  <c r="AB150" i="3"/>
  <c r="AB130" i="3"/>
  <c r="AB140" i="3"/>
  <c r="AB158" i="3"/>
  <c r="AB35" i="3"/>
  <c r="AB36" i="3"/>
  <c r="AB18" i="3"/>
  <c r="AB19" i="3"/>
  <c r="AB55" i="7"/>
  <c r="AB37" i="3"/>
  <c r="AB20" i="3"/>
  <c r="AB59" i="3"/>
  <c r="AB104" i="3"/>
  <c r="AB38" i="3"/>
  <c r="AB21" i="3"/>
  <c r="AB80" i="7"/>
  <c r="AB106" i="7"/>
  <c r="AB7" i="3"/>
  <c r="AB8" i="3"/>
  <c r="AB81" i="7"/>
  <c r="AB83" i="7"/>
  <c r="AB100" i="7"/>
  <c r="AB103" i="7"/>
  <c r="AB109" i="7"/>
  <c r="AB112" i="7"/>
  <c r="AB23" i="3"/>
  <c r="AB91" i="3"/>
  <c r="AB22" i="3"/>
  <c r="AB17" i="3"/>
  <c r="AB16" i="3"/>
  <c r="BH35" i="3"/>
  <c r="BH36" i="3"/>
  <c r="BH18" i="3"/>
  <c r="BH19" i="3"/>
  <c r="BH37" i="3"/>
  <c r="BH20" i="3"/>
  <c r="BH59" i="3"/>
  <c r="BH104" i="3"/>
  <c r="BH40" i="3"/>
  <c r="BH21" i="3"/>
  <c r="BH7" i="3"/>
  <c r="BH91" i="3"/>
  <c r="BH22" i="3"/>
  <c r="AB89" i="7"/>
  <c r="AB107" i="7"/>
  <c r="BH8" i="3"/>
  <c r="AB90" i="7"/>
  <c r="AB92" i="7"/>
  <c r="AB101" i="7"/>
  <c r="AB104" i="7"/>
  <c r="AB110" i="7"/>
  <c r="AB113" i="7"/>
  <c r="BH23" i="3"/>
  <c r="BH17" i="3"/>
  <c r="BH16" i="3"/>
  <c r="AB20" i="7"/>
  <c r="AB21" i="7"/>
  <c r="AB11" i="7"/>
  <c r="AB12" i="7"/>
  <c r="AB30" i="7"/>
  <c r="AB35" i="7"/>
  <c r="AB63" i="7"/>
  <c r="AB64" i="7"/>
  <c r="AB62" i="7"/>
  <c r="AB67" i="7"/>
  <c r="BI133" i="3"/>
  <c r="BI131" i="3"/>
  <c r="BI143" i="3"/>
  <c r="BI146" i="3"/>
  <c r="BI144" i="3"/>
  <c r="BI147" i="3"/>
  <c r="BI148" i="3"/>
  <c r="BI142" i="3"/>
  <c r="BI130" i="3"/>
  <c r="BI132" i="3"/>
  <c r="BI151" i="3"/>
  <c r="BI154" i="3"/>
  <c r="BI134" i="3"/>
  <c r="BI152" i="3"/>
  <c r="BI155" i="3"/>
  <c r="BI156" i="3"/>
  <c r="BI150" i="3"/>
  <c r="BI140" i="3"/>
  <c r="BI158" i="3"/>
  <c r="AC133" i="3"/>
  <c r="AC131" i="3"/>
  <c r="AC143" i="3"/>
  <c r="AC146" i="3"/>
  <c r="AC134" i="3"/>
  <c r="AC144" i="3"/>
  <c r="AC147" i="3"/>
  <c r="AC148" i="3"/>
  <c r="AC142" i="3"/>
  <c r="AC132" i="3"/>
  <c r="AC151" i="3"/>
  <c r="AC154" i="3"/>
  <c r="AC152" i="3"/>
  <c r="AC155" i="3"/>
  <c r="AC156" i="3"/>
  <c r="AC150" i="3"/>
  <c r="AC130" i="3"/>
  <c r="AC140" i="3"/>
  <c r="AC158" i="3"/>
  <c r="AC35" i="3"/>
  <c r="AC36" i="3"/>
  <c r="AC18" i="3"/>
  <c r="AC19" i="3"/>
  <c r="AC55" i="7"/>
  <c r="AC37" i="3"/>
  <c r="AC20" i="3"/>
  <c r="AC59" i="3"/>
  <c r="AC104" i="3"/>
  <c r="AC38" i="3"/>
  <c r="AC21" i="3"/>
  <c r="AC80" i="7"/>
  <c r="AC106" i="7"/>
  <c r="AC7" i="3"/>
  <c r="AC8" i="3"/>
  <c r="AC81" i="7"/>
  <c r="AC83" i="7"/>
  <c r="AC100" i="7"/>
  <c r="AC103" i="7"/>
  <c r="AC109" i="7"/>
  <c r="AC112" i="7"/>
  <c r="AC23" i="3"/>
  <c r="AC91" i="3"/>
  <c r="AC22" i="3"/>
  <c r="AC17" i="3"/>
  <c r="AC16" i="3"/>
  <c r="BI35" i="3"/>
  <c r="BI36" i="3"/>
  <c r="BI18" i="3"/>
  <c r="BI19" i="3"/>
  <c r="BI37" i="3"/>
  <c r="BI20" i="3"/>
  <c r="BI59" i="3"/>
  <c r="BI104" i="3"/>
  <c r="BI40" i="3"/>
  <c r="BI21" i="3"/>
  <c r="BI7" i="3"/>
  <c r="BI91" i="3"/>
  <c r="BI22" i="3"/>
  <c r="AC89" i="7"/>
  <c r="AC107" i="7"/>
  <c r="BI8" i="3"/>
  <c r="AC90" i="7"/>
  <c r="AC92" i="7"/>
  <c r="AC101" i="7"/>
  <c r="AC104" i="7"/>
  <c r="AC110" i="7"/>
  <c r="AC113" i="7"/>
  <c r="BI23" i="3"/>
  <c r="BI17" i="3"/>
  <c r="BI16" i="3"/>
  <c r="AC20" i="7"/>
  <c r="AC21" i="7"/>
  <c r="AC11" i="7"/>
  <c r="AC12" i="7"/>
  <c r="AC30" i="7"/>
  <c r="AC35" i="7"/>
  <c r="AC63" i="7"/>
  <c r="AC64" i="7"/>
  <c r="AC62" i="7"/>
  <c r="AC67" i="7"/>
  <c r="BJ133" i="3"/>
  <c r="BJ131" i="3"/>
  <c r="BJ143" i="3"/>
  <c r="BJ146" i="3"/>
  <c r="BJ144" i="3"/>
  <c r="BJ147" i="3"/>
  <c r="BJ148" i="3"/>
  <c r="BJ142" i="3"/>
  <c r="BJ130" i="3"/>
  <c r="BJ132" i="3"/>
  <c r="BJ151" i="3"/>
  <c r="BJ154" i="3"/>
  <c r="BJ134" i="3"/>
  <c r="BJ152" i="3"/>
  <c r="BJ155" i="3"/>
  <c r="BJ156" i="3"/>
  <c r="BJ150" i="3"/>
  <c r="BJ140" i="3"/>
  <c r="BJ158" i="3"/>
  <c r="AD133" i="3"/>
  <c r="AD131" i="3"/>
  <c r="AD143" i="3"/>
  <c r="AD146" i="3"/>
  <c r="AD134" i="3"/>
  <c r="AD144" i="3"/>
  <c r="AD147" i="3"/>
  <c r="AD148" i="3"/>
  <c r="AD142" i="3"/>
  <c r="AD132" i="3"/>
  <c r="AD151" i="3"/>
  <c r="AD154" i="3"/>
  <c r="AD152" i="3"/>
  <c r="AD155" i="3"/>
  <c r="AD156" i="3"/>
  <c r="AD150" i="3"/>
  <c r="AD130" i="3"/>
  <c r="AD140" i="3"/>
  <c r="AD158" i="3"/>
  <c r="AD35" i="3"/>
  <c r="AD36" i="3"/>
  <c r="AD18" i="3"/>
  <c r="AD19" i="3"/>
  <c r="AD55" i="7"/>
  <c r="AD37" i="3"/>
  <c r="AD20" i="3"/>
  <c r="AD59" i="3"/>
  <c r="AD104" i="3"/>
  <c r="AD38" i="3"/>
  <c r="AD21" i="3"/>
  <c r="AD80" i="7"/>
  <c r="AD106" i="7"/>
  <c r="AD7" i="3"/>
  <c r="AD8" i="3"/>
  <c r="AD81" i="7"/>
  <c r="AD83" i="7"/>
  <c r="AD100" i="7"/>
  <c r="AD103" i="7"/>
  <c r="AD109" i="7"/>
  <c r="AD112" i="7"/>
  <c r="AD23" i="3"/>
  <c r="AD91" i="3"/>
  <c r="AD22" i="3"/>
  <c r="AD17" i="3"/>
  <c r="AD16" i="3"/>
  <c r="BJ35" i="3"/>
  <c r="BJ36" i="3"/>
  <c r="BJ18" i="3"/>
  <c r="BJ19" i="3"/>
  <c r="BJ37" i="3"/>
  <c r="BJ20" i="3"/>
  <c r="BJ59" i="3"/>
  <c r="BJ104" i="3"/>
  <c r="BJ40" i="3"/>
  <c r="BJ21" i="3"/>
  <c r="BJ7" i="3"/>
  <c r="BJ91" i="3"/>
  <c r="BJ22" i="3"/>
  <c r="AD89" i="7"/>
  <c r="AD107" i="7"/>
  <c r="BJ8" i="3"/>
  <c r="AD90" i="7"/>
  <c r="AD92" i="7"/>
  <c r="AD101" i="7"/>
  <c r="AD104" i="7"/>
  <c r="AD110" i="7"/>
  <c r="AD113" i="7"/>
  <c r="BJ23" i="3"/>
  <c r="BJ17" i="3"/>
  <c r="BJ16" i="3"/>
  <c r="AD20" i="7"/>
  <c r="AD21" i="7"/>
  <c r="AD11" i="7"/>
  <c r="AD12" i="7"/>
  <c r="AD30" i="7"/>
  <c r="AD35" i="7"/>
  <c r="AD63" i="7"/>
  <c r="AD64" i="7"/>
  <c r="AD62" i="7"/>
  <c r="AD67" i="7"/>
  <c r="BK133" i="3"/>
  <c r="BK131" i="3"/>
  <c r="BK143" i="3"/>
  <c r="BK146" i="3"/>
  <c r="BK144" i="3"/>
  <c r="BK147" i="3"/>
  <c r="BK148" i="3"/>
  <c r="BK142" i="3"/>
  <c r="BK130" i="3"/>
  <c r="BK132" i="3"/>
  <c r="BK151" i="3"/>
  <c r="BK154" i="3"/>
  <c r="BK134" i="3"/>
  <c r="BK152" i="3"/>
  <c r="BK155" i="3"/>
  <c r="BK156" i="3"/>
  <c r="BK150" i="3"/>
  <c r="BK140" i="3"/>
  <c r="BK158" i="3"/>
  <c r="AE133" i="3"/>
  <c r="AE131" i="3"/>
  <c r="AE143" i="3"/>
  <c r="AE146" i="3"/>
  <c r="AE134" i="3"/>
  <c r="AE144" i="3"/>
  <c r="AE147" i="3"/>
  <c r="AE148" i="3"/>
  <c r="AE142" i="3"/>
  <c r="AE132" i="3"/>
  <c r="AE151" i="3"/>
  <c r="AE154" i="3"/>
  <c r="AE152" i="3"/>
  <c r="AE155" i="3"/>
  <c r="AE156" i="3"/>
  <c r="AE150" i="3"/>
  <c r="AE130" i="3"/>
  <c r="AE140" i="3"/>
  <c r="AE158" i="3"/>
  <c r="AE35" i="3"/>
  <c r="AE36" i="3"/>
  <c r="AE18" i="3"/>
  <c r="AE19" i="3"/>
  <c r="AE55" i="7"/>
  <c r="AE37" i="3"/>
  <c r="AE20" i="3"/>
  <c r="AE59" i="3"/>
  <c r="AE104" i="3"/>
  <c r="AE38" i="3"/>
  <c r="AE21" i="3"/>
  <c r="AE80" i="7"/>
  <c r="AE106" i="7"/>
  <c r="AE7" i="3"/>
  <c r="AE8" i="3"/>
  <c r="AE81" i="7"/>
  <c r="AE83" i="7"/>
  <c r="AE100" i="7"/>
  <c r="AE103" i="7"/>
  <c r="AE109" i="7"/>
  <c r="AE112" i="7"/>
  <c r="AE23" i="3"/>
  <c r="AE91" i="3"/>
  <c r="AE22" i="3"/>
  <c r="AE17" i="3"/>
  <c r="AE16" i="3"/>
  <c r="BK35" i="3"/>
  <c r="BK36" i="3"/>
  <c r="BK18" i="3"/>
  <c r="BK19" i="3"/>
  <c r="BK37" i="3"/>
  <c r="BK20" i="3"/>
  <c r="BK59" i="3"/>
  <c r="BK104" i="3"/>
  <c r="BK40" i="3"/>
  <c r="BK21" i="3"/>
  <c r="BK7" i="3"/>
  <c r="BK91" i="3"/>
  <c r="BK22" i="3"/>
  <c r="AE89" i="7"/>
  <c r="AE107" i="7"/>
  <c r="BK8" i="3"/>
  <c r="AE90" i="7"/>
  <c r="AE92" i="7"/>
  <c r="AE101" i="7"/>
  <c r="AE104" i="7"/>
  <c r="AE110" i="7"/>
  <c r="AE113" i="7"/>
  <c r="BK23" i="3"/>
  <c r="BK17" i="3"/>
  <c r="BK16" i="3"/>
  <c r="AE20" i="7"/>
  <c r="AE21" i="7"/>
  <c r="AE11" i="7"/>
  <c r="AE12" i="7"/>
  <c r="AE30" i="7"/>
  <c r="AE35" i="7"/>
  <c r="AE63" i="7"/>
  <c r="AE64" i="7"/>
  <c r="AE62" i="7"/>
  <c r="AE67" i="7"/>
  <c r="BL133" i="3"/>
  <c r="BL131" i="3"/>
  <c r="BL143" i="3"/>
  <c r="BL146" i="3"/>
  <c r="BL144" i="3"/>
  <c r="BL147" i="3"/>
  <c r="BL148" i="3"/>
  <c r="BL142" i="3"/>
  <c r="BL130" i="3"/>
  <c r="BL132" i="3"/>
  <c r="BL151" i="3"/>
  <c r="BL154" i="3"/>
  <c r="BL134" i="3"/>
  <c r="BL152" i="3"/>
  <c r="BL155" i="3"/>
  <c r="BL156" i="3"/>
  <c r="BL150" i="3"/>
  <c r="BL140" i="3"/>
  <c r="BL158" i="3"/>
  <c r="AF133" i="3"/>
  <c r="AF131" i="3"/>
  <c r="AF143" i="3"/>
  <c r="AF146" i="3"/>
  <c r="AF134" i="3"/>
  <c r="AF144" i="3"/>
  <c r="AF147" i="3"/>
  <c r="AF148" i="3"/>
  <c r="AF142" i="3"/>
  <c r="AF132" i="3"/>
  <c r="AF151" i="3"/>
  <c r="AF154" i="3"/>
  <c r="AF152" i="3"/>
  <c r="AF155" i="3"/>
  <c r="AF156" i="3"/>
  <c r="AF150" i="3"/>
  <c r="AF130" i="3"/>
  <c r="AF140" i="3"/>
  <c r="AF158" i="3"/>
  <c r="AF35" i="3"/>
  <c r="AF36" i="3"/>
  <c r="AF18" i="3"/>
  <c r="AF19" i="3"/>
  <c r="AF55" i="7"/>
  <c r="AF37" i="3"/>
  <c r="AF20" i="3"/>
  <c r="AF59" i="3"/>
  <c r="AF104" i="3"/>
  <c r="AF38" i="3"/>
  <c r="AF21" i="3"/>
  <c r="AF80" i="7"/>
  <c r="AF106" i="7"/>
  <c r="AF7" i="3"/>
  <c r="AF8" i="3"/>
  <c r="AF81" i="7"/>
  <c r="AF83" i="7"/>
  <c r="AF100" i="7"/>
  <c r="AF103" i="7"/>
  <c r="AF109" i="7"/>
  <c r="AF112" i="7"/>
  <c r="AF23" i="3"/>
  <c r="AF91" i="3"/>
  <c r="AF22" i="3"/>
  <c r="AF17" i="3"/>
  <c r="AF16" i="3"/>
  <c r="BL35" i="3"/>
  <c r="BL36" i="3"/>
  <c r="BL18" i="3"/>
  <c r="BL19" i="3"/>
  <c r="BL37" i="3"/>
  <c r="BL20" i="3"/>
  <c r="BL59" i="3"/>
  <c r="BL104" i="3"/>
  <c r="BL40" i="3"/>
  <c r="BL21" i="3"/>
  <c r="BL7" i="3"/>
  <c r="BL91" i="3"/>
  <c r="BL22" i="3"/>
  <c r="AF89" i="7"/>
  <c r="AF107" i="7"/>
  <c r="BL8" i="3"/>
  <c r="AF90" i="7"/>
  <c r="AF92" i="7"/>
  <c r="AF101" i="7"/>
  <c r="AF104" i="7"/>
  <c r="AF110" i="7"/>
  <c r="AF113" i="7"/>
  <c r="BL23" i="3"/>
  <c r="BL17" i="3"/>
  <c r="BL16" i="3"/>
  <c r="AF20" i="7"/>
  <c r="AF21" i="7"/>
  <c r="AF11" i="7"/>
  <c r="AF12" i="7"/>
  <c r="AF30" i="7"/>
  <c r="AF35" i="7"/>
  <c r="AF63" i="7"/>
  <c r="AF64" i="7"/>
  <c r="AF62" i="7"/>
  <c r="AF67" i="7"/>
  <c r="G80" i="7"/>
  <c r="G106" i="7"/>
  <c r="G81" i="7"/>
  <c r="G83" i="7"/>
  <c r="G100" i="7"/>
  <c r="G103" i="7"/>
  <c r="G109" i="7"/>
  <c r="G112" i="7"/>
  <c r="G23" i="3"/>
  <c r="G20" i="3"/>
  <c r="G59" i="3"/>
  <c r="G104" i="3"/>
  <c r="G38" i="3"/>
  <c r="G21" i="3"/>
  <c r="G18" i="3"/>
  <c r="G19" i="3"/>
  <c r="G17" i="3"/>
  <c r="G16" i="3"/>
  <c r="G89" i="7"/>
  <c r="G107" i="7"/>
  <c r="G90" i="7"/>
  <c r="G92" i="7"/>
  <c r="G101" i="7"/>
  <c r="G104" i="7"/>
  <c r="G110" i="7"/>
  <c r="G113" i="7"/>
  <c r="AM23" i="3"/>
  <c r="AM20" i="3"/>
  <c r="AM59" i="3"/>
  <c r="AM104" i="3"/>
  <c r="AM40" i="3"/>
  <c r="AM21" i="3"/>
  <c r="AM18" i="3"/>
  <c r="AM19" i="3"/>
  <c r="AM17" i="3"/>
  <c r="AM16" i="3"/>
  <c r="G11" i="7"/>
  <c r="G20" i="7"/>
  <c r="G12" i="7"/>
  <c r="G21" i="7"/>
  <c r="G30" i="7"/>
  <c r="G35" i="7"/>
  <c r="G63" i="7"/>
  <c r="G64" i="7"/>
  <c r="G62" i="7"/>
  <c r="G67" i="7"/>
  <c r="AK5" i="10"/>
  <c r="AK27" i="10"/>
  <c r="AK45" i="10"/>
  <c r="AK10" i="10"/>
  <c r="AK4" i="10"/>
  <c r="AK79" i="10"/>
  <c r="AK46" i="10"/>
  <c r="G91" i="7"/>
  <c r="G56" i="7"/>
  <c r="AM189" i="3"/>
  <c r="AM110" i="3"/>
  <c r="AM190" i="3"/>
  <c r="AM192" i="3"/>
  <c r="AM179" i="3"/>
  <c r="G189" i="3"/>
  <c r="G191" i="3"/>
  <c r="G200" i="3"/>
  <c r="H200" i="3"/>
  <c r="H184" i="3"/>
  <c r="H197" i="3"/>
  <c r="H196" i="3"/>
  <c r="H199" i="3"/>
  <c r="I184" i="3"/>
  <c r="I197" i="3"/>
  <c r="I196" i="3"/>
  <c r="I200" i="3"/>
  <c r="I199" i="3"/>
  <c r="J184" i="3"/>
  <c r="J197" i="3"/>
  <c r="J196" i="3"/>
  <c r="J200" i="3"/>
  <c r="J199" i="3"/>
  <c r="K184" i="3"/>
  <c r="K197" i="3"/>
  <c r="K196" i="3"/>
  <c r="K200" i="3"/>
  <c r="K199" i="3"/>
  <c r="L184" i="3"/>
  <c r="L197" i="3"/>
  <c r="L196" i="3"/>
  <c r="L200" i="3"/>
  <c r="L199" i="3"/>
  <c r="M184" i="3"/>
  <c r="M197" i="3"/>
  <c r="M196" i="3"/>
  <c r="M200" i="3"/>
  <c r="M199" i="3"/>
  <c r="N184" i="3"/>
  <c r="N197" i="3"/>
  <c r="N196" i="3"/>
  <c r="N200" i="3"/>
  <c r="N199" i="3"/>
  <c r="O184" i="3"/>
  <c r="O197" i="3"/>
  <c r="O196" i="3"/>
  <c r="O200" i="3"/>
  <c r="O199" i="3"/>
  <c r="P184" i="3"/>
  <c r="P197" i="3"/>
  <c r="P196" i="3"/>
  <c r="P200" i="3"/>
  <c r="P199" i="3"/>
  <c r="Q184" i="3"/>
  <c r="Q197" i="3"/>
  <c r="Q196" i="3"/>
  <c r="Q200" i="3"/>
  <c r="Q199" i="3"/>
  <c r="Q5" i="10"/>
  <c r="Q45" i="10"/>
  <c r="Q10" i="10"/>
  <c r="Q4" i="10"/>
  <c r="Q46" i="10"/>
  <c r="R82" i="7"/>
  <c r="R184" i="3"/>
  <c r="R197" i="3"/>
  <c r="R196" i="3"/>
  <c r="R200" i="3"/>
  <c r="R199" i="3"/>
  <c r="R201" i="3"/>
  <c r="R5" i="10"/>
  <c r="R45" i="10"/>
  <c r="R10" i="10"/>
  <c r="R4" i="10"/>
  <c r="R46" i="10"/>
  <c r="S82" i="7"/>
  <c r="S184" i="3"/>
  <c r="S197" i="3"/>
  <c r="S196" i="3"/>
  <c r="S200" i="3"/>
  <c r="S199" i="3"/>
  <c r="S201" i="3"/>
  <c r="S5" i="10"/>
  <c r="S45" i="10"/>
  <c r="S10" i="10"/>
  <c r="S4" i="10"/>
  <c r="S46" i="10"/>
  <c r="T82" i="7"/>
  <c r="T184" i="3"/>
  <c r="T197" i="3"/>
  <c r="T196" i="3"/>
  <c r="T200" i="3"/>
  <c r="T199" i="3"/>
  <c r="T201" i="3"/>
  <c r="T5" i="10"/>
  <c r="T45" i="10"/>
  <c r="T10" i="10"/>
  <c r="T4" i="10"/>
  <c r="T46" i="10"/>
  <c r="U82" i="7"/>
  <c r="U184" i="3"/>
  <c r="U197" i="3"/>
  <c r="U196" i="3"/>
  <c r="U200" i="3"/>
  <c r="U199" i="3"/>
  <c r="U201" i="3"/>
  <c r="U5" i="10"/>
  <c r="U45" i="10"/>
  <c r="U10" i="10"/>
  <c r="U4" i="10"/>
  <c r="U46" i="10"/>
  <c r="V82" i="7"/>
  <c r="V184" i="3"/>
  <c r="V197" i="3"/>
  <c r="V196" i="3"/>
  <c r="V200" i="3"/>
  <c r="V199" i="3"/>
  <c r="V201" i="3"/>
  <c r="V5" i="10"/>
  <c r="V45" i="10"/>
  <c r="V10" i="10"/>
  <c r="V4" i="10"/>
  <c r="V46" i="10"/>
  <c r="W82" i="7"/>
  <c r="W184" i="3"/>
  <c r="W197" i="3"/>
  <c r="W196" i="3"/>
  <c r="W200" i="3"/>
  <c r="W199" i="3"/>
  <c r="W201" i="3"/>
  <c r="W5" i="10"/>
  <c r="W45" i="10"/>
  <c r="W10" i="10"/>
  <c r="W4" i="10"/>
  <c r="W46" i="10"/>
  <c r="X82" i="7"/>
  <c r="X184" i="3"/>
  <c r="X197" i="3"/>
  <c r="X196" i="3"/>
  <c r="X200" i="3"/>
  <c r="X199" i="3"/>
  <c r="X201" i="3"/>
  <c r="X5" i="10"/>
  <c r="X45" i="10"/>
  <c r="X10" i="10"/>
  <c r="X4" i="10"/>
  <c r="X46" i="10"/>
  <c r="Y82" i="7"/>
  <c r="Y184" i="3"/>
  <c r="Y197" i="3"/>
  <c r="Y196" i="3"/>
  <c r="Y200" i="3"/>
  <c r="Y199" i="3"/>
  <c r="Y201" i="3"/>
  <c r="Y5" i="10"/>
  <c r="Y45" i="10"/>
  <c r="Y10" i="10"/>
  <c r="Y4" i="10"/>
  <c r="Y46" i="10"/>
  <c r="Z82" i="7"/>
  <c r="Z184" i="3"/>
  <c r="Z197" i="3"/>
  <c r="Z196" i="3"/>
  <c r="Z200" i="3"/>
  <c r="Z199" i="3"/>
  <c r="Z201" i="3"/>
  <c r="Z5" i="10"/>
  <c r="Z45" i="10"/>
  <c r="Z10" i="10"/>
  <c r="Z4" i="10"/>
  <c r="Z46" i="10"/>
  <c r="AA82" i="7"/>
  <c r="AA184" i="3"/>
  <c r="AA197" i="3"/>
  <c r="AA196" i="3"/>
  <c r="AA200" i="3"/>
  <c r="AA199" i="3"/>
  <c r="AA201" i="3"/>
  <c r="AA5" i="10"/>
  <c r="AA45" i="10"/>
  <c r="AA10" i="10"/>
  <c r="AA4" i="10"/>
  <c r="AA46" i="10"/>
  <c r="AB82" i="7"/>
  <c r="AB184" i="3"/>
  <c r="AB197" i="3"/>
  <c r="AB196" i="3"/>
  <c r="AB200" i="3"/>
  <c r="AB199" i="3"/>
  <c r="AB201" i="3"/>
  <c r="AB5" i="10"/>
  <c r="AB45" i="10"/>
  <c r="AB10" i="10"/>
  <c r="AB4" i="10"/>
  <c r="AB46" i="10"/>
  <c r="AC82" i="7"/>
  <c r="AC184" i="3"/>
  <c r="AC197" i="3"/>
  <c r="AC196" i="3"/>
  <c r="AC200" i="3"/>
  <c r="AC199" i="3"/>
  <c r="AC201" i="3"/>
  <c r="AC5" i="10"/>
  <c r="AC45" i="10"/>
  <c r="AC10" i="10"/>
  <c r="AC4" i="10"/>
  <c r="AC46" i="10"/>
  <c r="AD82" i="7"/>
  <c r="AD184" i="3"/>
  <c r="AD197" i="3"/>
  <c r="AD196" i="3"/>
  <c r="AD200" i="3"/>
  <c r="AD199" i="3"/>
  <c r="AD201" i="3"/>
  <c r="AD5" i="10"/>
  <c r="AD45" i="10"/>
  <c r="AD10" i="10"/>
  <c r="AD4" i="10"/>
  <c r="AD46" i="10"/>
  <c r="AE82" i="7"/>
  <c r="AE184" i="3"/>
  <c r="AE197" i="3"/>
  <c r="AE196" i="3"/>
  <c r="AE200" i="3"/>
  <c r="AE199" i="3"/>
  <c r="AE201" i="3"/>
  <c r="AE5" i="10"/>
  <c r="AE45" i="10"/>
  <c r="AE10" i="10"/>
  <c r="AE4" i="10"/>
  <c r="AE46" i="10"/>
  <c r="AF82" i="7"/>
  <c r="AF184" i="3"/>
  <c r="AF197" i="3"/>
  <c r="AF196" i="3"/>
  <c r="AF200" i="3"/>
  <c r="AF199" i="3"/>
  <c r="AF201" i="3"/>
  <c r="F5" i="10"/>
  <c r="F45" i="10"/>
  <c r="F10" i="10"/>
  <c r="F4" i="10"/>
  <c r="F46" i="10"/>
  <c r="G82" i="7"/>
  <c r="G199" i="3"/>
  <c r="G201" i="3"/>
  <c r="R202" i="3"/>
  <c r="S202" i="3"/>
  <c r="T202" i="3"/>
  <c r="U202" i="3"/>
  <c r="V202" i="3"/>
  <c r="W202" i="3"/>
  <c r="X202" i="3"/>
  <c r="Y202" i="3"/>
  <c r="Z202" i="3"/>
  <c r="AA202" i="3"/>
  <c r="AB202" i="3"/>
  <c r="AC202" i="3"/>
  <c r="AD202" i="3"/>
  <c r="AE202" i="3"/>
  <c r="AF202" i="3"/>
  <c r="H65" i="3"/>
  <c r="I65" i="3"/>
  <c r="I66" i="3"/>
  <c r="I64" i="3"/>
  <c r="H12" i="10"/>
  <c r="H13" i="10"/>
  <c r="H14" i="10"/>
  <c r="J66" i="3"/>
  <c r="K66" i="3"/>
  <c r="L66" i="3"/>
  <c r="M66" i="3"/>
  <c r="N66" i="3"/>
  <c r="O66" i="3"/>
  <c r="P66" i="3"/>
  <c r="Q66" i="3"/>
  <c r="R66" i="3"/>
  <c r="S66" i="3"/>
  <c r="T66" i="3"/>
  <c r="U66" i="3"/>
  <c r="V66" i="3"/>
  <c r="W66" i="3"/>
  <c r="X66" i="3"/>
  <c r="Y66" i="3"/>
  <c r="Z66" i="3"/>
  <c r="AA66" i="3"/>
  <c r="AB66" i="3"/>
  <c r="AC66" i="3"/>
  <c r="AD66" i="3"/>
  <c r="AE66" i="3"/>
  <c r="AF66" i="3"/>
  <c r="J65" i="3"/>
  <c r="J67" i="3"/>
  <c r="J64" i="3"/>
  <c r="I12" i="10"/>
  <c r="I13" i="10"/>
  <c r="I14" i="10"/>
  <c r="K67" i="3"/>
  <c r="L67" i="3"/>
  <c r="M67" i="3"/>
  <c r="N67" i="3"/>
  <c r="O67" i="3"/>
  <c r="P67" i="3"/>
  <c r="Q67" i="3"/>
  <c r="R67" i="3"/>
  <c r="S67" i="3"/>
  <c r="T67" i="3"/>
  <c r="U67" i="3"/>
  <c r="V67" i="3"/>
  <c r="W67" i="3"/>
  <c r="X67" i="3"/>
  <c r="Y67" i="3"/>
  <c r="Z67" i="3"/>
  <c r="AA67" i="3"/>
  <c r="AB67" i="3"/>
  <c r="AC67" i="3"/>
  <c r="AD67" i="3"/>
  <c r="AE67" i="3"/>
  <c r="AF67" i="3"/>
  <c r="K65" i="3"/>
  <c r="K68" i="3"/>
  <c r="K64" i="3"/>
  <c r="J12" i="10"/>
  <c r="J13" i="10"/>
  <c r="J14" i="10"/>
  <c r="L68" i="3"/>
  <c r="M68" i="3"/>
  <c r="N68" i="3"/>
  <c r="O68" i="3"/>
  <c r="P68" i="3"/>
  <c r="Q68" i="3"/>
  <c r="R68" i="3"/>
  <c r="S68" i="3"/>
  <c r="T68" i="3"/>
  <c r="U68" i="3"/>
  <c r="V68" i="3"/>
  <c r="W68" i="3"/>
  <c r="X68" i="3"/>
  <c r="Y68" i="3"/>
  <c r="Z68" i="3"/>
  <c r="AA68" i="3"/>
  <c r="AB68" i="3"/>
  <c r="AC68" i="3"/>
  <c r="AD68" i="3"/>
  <c r="AE68" i="3"/>
  <c r="AF68" i="3"/>
  <c r="L65" i="3"/>
  <c r="L69" i="3"/>
  <c r="L64" i="3"/>
  <c r="K12" i="10"/>
  <c r="K13" i="10"/>
  <c r="K14" i="10"/>
  <c r="M69" i="3"/>
  <c r="N69" i="3"/>
  <c r="O69" i="3"/>
  <c r="P69" i="3"/>
  <c r="Q69" i="3"/>
  <c r="R69" i="3"/>
  <c r="S69" i="3"/>
  <c r="T69" i="3"/>
  <c r="U69" i="3"/>
  <c r="V69" i="3"/>
  <c r="W69" i="3"/>
  <c r="X69" i="3"/>
  <c r="Y69" i="3"/>
  <c r="Z69" i="3"/>
  <c r="AA69" i="3"/>
  <c r="AB69" i="3"/>
  <c r="AC69" i="3"/>
  <c r="AD69" i="3"/>
  <c r="AE69" i="3"/>
  <c r="AF69" i="3"/>
  <c r="M65" i="3"/>
  <c r="M70" i="3"/>
  <c r="M64" i="3"/>
  <c r="L12" i="10"/>
  <c r="L13" i="10"/>
  <c r="L14" i="10"/>
  <c r="N70" i="3"/>
  <c r="O70" i="3"/>
  <c r="P70" i="3"/>
  <c r="Q70" i="3"/>
  <c r="R70" i="3"/>
  <c r="S70" i="3"/>
  <c r="T70" i="3"/>
  <c r="U70" i="3"/>
  <c r="V70" i="3"/>
  <c r="W70" i="3"/>
  <c r="X70" i="3"/>
  <c r="Y70" i="3"/>
  <c r="Z70" i="3"/>
  <c r="AA70" i="3"/>
  <c r="AB70" i="3"/>
  <c r="AC70" i="3"/>
  <c r="AD70" i="3"/>
  <c r="AE70" i="3"/>
  <c r="AF70" i="3"/>
  <c r="N65" i="3"/>
  <c r="N71" i="3"/>
  <c r="N64" i="3"/>
  <c r="M12" i="10"/>
  <c r="M13" i="10"/>
  <c r="M14" i="10"/>
  <c r="O71" i="3"/>
  <c r="P71" i="3"/>
  <c r="Q71" i="3"/>
  <c r="R71" i="3"/>
  <c r="S71" i="3"/>
  <c r="T71" i="3"/>
  <c r="U71" i="3"/>
  <c r="V71" i="3"/>
  <c r="W71" i="3"/>
  <c r="X71" i="3"/>
  <c r="Y71" i="3"/>
  <c r="Z71" i="3"/>
  <c r="AA71" i="3"/>
  <c r="AB71" i="3"/>
  <c r="AC71" i="3"/>
  <c r="AD71" i="3"/>
  <c r="AE71" i="3"/>
  <c r="AF71" i="3"/>
  <c r="O65" i="3"/>
  <c r="O72" i="3"/>
  <c r="O64" i="3"/>
  <c r="N12" i="10"/>
  <c r="N13" i="10"/>
  <c r="N14" i="10"/>
  <c r="P72" i="3"/>
  <c r="Q72" i="3"/>
  <c r="R72" i="3"/>
  <c r="S72" i="3"/>
  <c r="T72" i="3"/>
  <c r="U72" i="3"/>
  <c r="V72" i="3"/>
  <c r="W72" i="3"/>
  <c r="X72" i="3"/>
  <c r="Y72" i="3"/>
  <c r="Z72" i="3"/>
  <c r="AA72" i="3"/>
  <c r="AB72" i="3"/>
  <c r="AC72" i="3"/>
  <c r="AD72" i="3"/>
  <c r="AE72" i="3"/>
  <c r="AF72" i="3"/>
  <c r="P65" i="3"/>
  <c r="P73" i="3"/>
  <c r="P64" i="3"/>
  <c r="O12" i="10"/>
  <c r="O13" i="10"/>
  <c r="O14" i="10"/>
  <c r="Q73" i="3"/>
  <c r="R73" i="3"/>
  <c r="S73" i="3"/>
  <c r="T73" i="3"/>
  <c r="U73" i="3"/>
  <c r="V73" i="3"/>
  <c r="W73" i="3"/>
  <c r="X73" i="3"/>
  <c r="Y73" i="3"/>
  <c r="Z73" i="3"/>
  <c r="AA73" i="3"/>
  <c r="AB73" i="3"/>
  <c r="AC73" i="3"/>
  <c r="AD73" i="3"/>
  <c r="AE73" i="3"/>
  <c r="AF73" i="3"/>
  <c r="Q65" i="3"/>
  <c r="Q74" i="3"/>
  <c r="Q64" i="3"/>
  <c r="P12" i="10"/>
  <c r="P13" i="10"/>
  <c r="P14" i="10"/>
  <c r="R65" i="3"/>
  <c r="R74" i="3"/>
  <c r="R64" i="3"/>
  <c r="Q12" i="10"/>
  <c r="Q13" i="10"/>
  <c r="Q14" i="10"/>
  <c r="S65" i="3"/>
  <c r="S74" i="3"/>
  <c r="S64" i="3"/>
  <c r="R12" i="10"/>
  <c r="R13" i="10"/>
  <c r="R14" i="10"/>
  <c r="T65" i="3"/>
  <c r="T74" i="3"/>
  <c r="T64" i="3"/>
  <c r="S12" i="10"/>
  <c r="S13" i="10"/>
  <c r="S14" i="10"/>
  <c r="U65" i="3"/>
  <c r="U74" i="3"/>
  <c r="U64" i="3"/>
  <c r="T12" i="10"/>
  <c r="T13" i="10"/>
  <c r="T14" i="10"/>
  <c r="V65" i="3"/>
  <c r="V74" i="3"/>
  <c r="V64" i="3"/>
  <c r="U12" i="10"/>
  <c r="U13" i="10"/>
  <c r="U14" i="10"/>
  <c r="W65" i="3"/>
  <c r="W74" i="3"/>
  <c r="W64" i="3"/>
  <c r="V12" i="10"/>
  <c r="V13" i="10"/>
  <c r="V14" i="10"/>
  <c r="X65" i="3"/>
  <c r="X74" i="3"/>
  <c r="X64" i="3"/>
  <c r="W12" i="10"/>
  <c r="W13" i="10"/>
  <c r="W14" i="10"/>
  <c r="Y65" i="3"/>
  <c r="Y74" i="3"/>
  <c r="Y64" i="3"/>
  <c r="X12" i="10"/>
  <c r="X13" i="10"/>
  <c r="X14" i="10"/>
  <c r="Z65" i="3"/>
  <c r="Z74" i="3"/>
  <c r="Z64" i="3"/>
  <c r="Y12" i="10"/>
  <c r="Y13" i="10"/>
  <c r="Y14" i="10"/>
  <c r="H64" i="3"/>
  <c r="G7" i="10"/>
  <c r="G29" i="10"/>
  <c r="H7" i="10"/>
  <c r="H29" i="10"/>
  <c r="I7" i="10"/>
  <c r="I29" i="10"/>
  <c r="J7" i="10"/>
  <c r="J29" i="10"/>
  <c r="K7" i="10"/>
  <c r="K29" i="10"/>
  <c r="L7" i="10"/>
  <c r="L29" i="10"/>
  <c r="M7" i="10"/>
  <c r="M29" i="10"/>
  <c r="N7" i="10"/>
  <c r="N29" i="10"/>
  <c r="O7" i="10"/>
  <c r="O29" i="10"/>
  <c r="P7" i="10"/>
  <c r="P29" i="10"/>
  <c r="Q7" i="10"/>
  <c r="Q29" i="10"/>
  <c r="R7" i="10"/>
  <c r="R29" i="10"/>
  <c r="S7" i="10"/>
  <c r="S29" i="10"/>
  <c r="T7" i="10"/>
  <c r="T29" i="10"/>
  <c r="U7" i="10"/>
  <c r="U29" i="10"/>
  <c r="V7" i="10"/>
  <c r="V29" i="10"/>
  <c r="W7" i="10"/>
  <c r="W29" i="10"/>
  <c r="X7" i="10"/>
  <c r="X29" i="10"/>
  <c r="Y7" i="10"/>
  <c r="Y29" i="10"/>
  <c r="AA65" i="3"/>
  <c r="AA74" i="3"/>
  <c r="AA64" i="3"/>
  <c r="Z7" i="10"/>
  <c r="Z29" i="10"/>
  <c r="AB65" i="3"/>
  <c r="AB74" i="3"/>
  <c r="AB64" i="3"/>
  <c r="AA7" i="10"/>
  <c r="AA29" i="10"/>
  <c r="AC65" i="3"/>
  <c r="AC74" i="3"/>
  <c r="AC64" i="3"/>
  <c r="AB7" i="10"/>
  <c r="AB29" i="10"/>
  <c r="AD65" i="3"/>
  <c r="AD74" i="3"/>
  <c r="AD64" i="3"/>
  <c r="AC7" i="10"/>
  <c r="AC29" i="10"/>
  <c r="AE65" i="3"/>
  <c r="AE74" i="3"/>
  <c r="AE64" i="3"/>
  <c r="AD7" i="10"/>
  <c r="AD29" i="10"/>
  <c r="AF65" i="3"/>
  <c r="AF74" i="3"/>
  <c r="AF64" i="3"/>
  <c r="AE7" i="10"/>
  <c r="AE29" i="10"/>
  <c r="H81" i="7"/>
  <c r="G5" i="10"/>
  <c r="G45" i="10"/>
  <c r="G10" i="10"/>
  <c r="G4" i="10"/>
  <c r="G46" i="10"/>
  <c r="H109" i="7"/>
  <c r="I81" i="7"/>
  <c r="H5" i="10"/>
  <c r="H45" i="10"/>
  <c r="H10" i="10"/>
  <c r="H4" i="10"/>
  <c r="H46" i="10"/>
  <c r="I109" i="7"/>
  <c r="J81" i="7"/>
  <c r="I5" i="10"/>
  <c r="I45" i="10"/>
  <c r="I10" i="10"/>
  <c r="I4" i="10"/>
  <c r="I46" i="10"/>
  <c r="J109" i="7"/>
  <c r="K81" i="7"/>
  <c r="J5" i="10"/>
  <c r="J45" i="10"/>
  <c r="J10" i="10"/>
  <c r="J4" i="10"/>
  <c r="J46" i="10"/>
  <c r="K109" i="7"/>
  <c r="L81" i="7"/>
  <c r="K5" i="10"/>
  <c r="K45" i="10"/>
  <c r="K10" i="10"/>
  <c r="K4" i="10"/>
  <c r="K46" i="10"/>
  <c r="L109" i="7"/>
  <c r="M81" i="7"/>
  <c r="L5" i="10"/>
  <c r="L45" i="10"/>
  <c r="L10" i="10"/>
  <c r="L4" i="10"/>
  <c r="L46" i="10"/>
  <c r="M109" i="7"/>
  <c r="N81" i="7"/>
  <c r="M5" i="10"/>
  <c r="M45" i="10"/>
  <c r="M10" i="10"/>
  <c r="M4" i="10"/>
  <c r="M46" i="10"/>
  <c r="N109" i="7"/>
  <c r="O81" i="7"/>
  <c r="N5" i="10"/>
  <c r="N45" i="10"/>
  <c r="N10" i="10"/>
  <c r="N4" i="10"/>
  <c r="N46" i="10"/>
  <c r="O109" i="7"/>
  <c r="P81" i="7"/>
  <c r="O5" i="10"/>
  <c r="O45" i="10"/>
  <c r="O10" i="10"/>
  <c r="O4" i="10"/>
  <c r="O46" i="10"/>
  <c r="P109" i="7"/>
  <c r="AN10" i="3"/>
  <c r="AO10" i="3"/>
  <c r="AP10" i="3"/>
  <c r="AQ10" i="3"/>
  <c r="AR10" i="3"/>
  <c r="AS10" i="3"/>
  <c r="AT10" i="3"/>
  <c r="AU10" i="3"/>
  <c r="AV10" i="3"/>
  <c r="AW10" i="3"/>
  <c r="AM27" i="3"/>
  <c r="AM26" i="3"/>
  <c r="AM25" i="3"/>
  <c r="AM24" i="3"/>
  <c r="G27" i="3"/>
  <c r="G26" i="3"/>
  <c r="G25" i="3"/>
  <c r="G24" i="3"/>
  <c r="AN75"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AN8" i="3"/>
  <c r="AL5" i="10"/>
  <c r="AL27" i="10"/>
  <c r="AL45" i="10"/>
  <c r="AL10" i="10"/>
  <c r="AL4" i="10"/>
  <c r="AL79" i="10"/>
  <c r="AL46" i="10"/>
  <c r="H110" i="7"/>
  <c r="AO75" i="3"/>
  <c r="AO78" i="3"/>
  <c r="AP78" i="3"/>
  <c r="AQ78" i="3"/>
  <c r="AR78" i="3"/>
  <c r="AS78" i="3"/>
  <c r="AT78" i="3"/>
  <c r="AU78" i="3"/>
  <c r="AV78" i="3"/>
  <c r="AW78" i="3"/>
  <c r="AX78" i="3"/>
  <c r="AY78" i="3"/>
  <c r="AZ78" i="3"/>
  <c r="BA78" i="3"/>
  <c r="BB78" i="3"/>
  <c r="BC78" i="3"/>
  <c r="BD78" i="3"/>
  <c r="BE78" i="3"/>
  <c r="BF78" i="3"/>
  <c r="BG78" i="3"/>
  <c r="BH78" i="3"/>
  <c r="BI78" i="3"/>
  <c r="BJ78" i="3"/>
  <c r="BK78" i="3"/>
  <c r="BL78" i="3"/>
  <c r="AO66" i="3"/>
  <c r="AP66" i="3"/>
  <c r="AQ66" i="3"/>
  <c r="AR66" i="3"/>
  <c r="AS66" i="3"/>
  <c r="AT66" i="3"/>
  <c r="AU66" i="3"/>
  <c r="AV66" i="3"/>
  <c r="AW66" i="3"/>
  <c r="AX66" i="3"/>
  <c r="AY66" i="3"/>
  <c r="AZ66" i="3"/>
  <c r="BA66" i="3"/>
  <c r="BB66" i="3"/>
  <c r="BC66" i="3"/>
  <c r="BD66" i="3"/>
  <c r="BE66" i="3"/>
  <c r="BF66" i="3"/>
  <c r="BG66" i="3"/>
  <c r="BH66" i="3"/>
  <c r="BI66" i="3"/>
  <c r="BJ66" i="3"/>
  <c r="BK66" i="3"/>
  <c r="BL66" i="3"/>
  <c r="AO8" i="3"/>
  <c r="AM5" i="10"/>
  <c r="AM27" i="10"/>
  <c r="AM45" i="10"/>
  <c r="AM10" i="10"/>
  <c r="AM4" i="10"/>
  <c r="AM79" i="10"/>
  <c r="AM46" i="10"/>
  <c r="I110" i="7"/>
  <c r="AP75" i="3"/>
  <c r="AP79" i="3"/>
  <c r="AQ79" i="3"/>
  <c r="AR79" i="3"/>
  <c r="AS79" i="3"/>
  <c r="AT79" i="3"/>
  <c r="AU79" i="3"/>
  <c r="AV79" i="3"/>
  <c r="AW79" i="3"/>
  <c r="AX79" i="3"/>
  <c r="AY79" i="3"/>
  <c r="AZ79" i="3"/>
  <c r="BA79" i="3"/>
  <c r="BB79" i="3"/>
  <c r="BC79" i="3"/>
  <c r="BD79" i="3"/>
  <c r="BE79" i="3"/>
  <c r="BF79" i="3"/>
  <c r="BG79" i="3"/>
  <c r="BH79" i="3"/>
  <c r="BI79" i="3"/>
  <c r="BJ79" i="3"/>
  <c r="BK79" i="3"/>
  <c r="BL79" i="3"/>
  <c r="AP67" i="3"/>
  <c r="AQ67" i="3"/>
  <c r="AR67" i="3"/>
  <c r="AS67" i="3"/>
  <c r="AT67" i="3"/>
  <c r="AU67" i="3"/>
  <c r="AV67" i="3"/>
  <c r="AW67" i="3"/>
  <c r="AX67" i="3"/>
  <c r="AY67" i="3"/>
  <c r="AZ67" i="3"/>
  <c r="BA67" i="3"/>
  <c r="BB67" i="3"/>
  <c r="BC67" i="3"/>
  <c r="BD67" i="3"/>
  <c r="BE67" i="3"/>
  <c r="BF67" i="3"/>
  <c r="BG67" i="3"/>
  <c r="BH67" i="3"/>
  <c r="BI67" i="3"/>
  <c r="BJ67" i="3"/>
  <c r="BK67" i="3"/>
  <c r="BL67" i="3"/>
  <c r="AP8" i="3"/>
  <c r="AN5" i="10"/>
  <c r="AN27" i="10"/>
  <c r="AN45" i="10"/>
  <c r="AN10" i="10"/>
  <c r="AN4" i="10"/>
  <c r="AN79" i="10"/>
  <c r="AN46" i="10"/>
  <c r="J110" i="7"/>
  <c r="AQ75" i="3"/>
  <c r="AQ80" i="3"/>
  <c r="AR80" i="3"/>
  <c r="AS80" i="3"/>
  <c r="AT80" i="3"/>
  <c r="AU80" i="3"/>
  <c r="AV80" i="3"/>
  <c r="AW80" i="3"/>
  <c r="AX80" i="3"/>
  <c r="AY80" i="3"/>
  <c r="AZ80" i="3"/>
  <c r="BA80" i="3"/>
  <c r="BB80" i="3"/>
  <c r="BC80" i="3"/>
  <c r="BD80" i="3"/>
  <c r="BE80" i="3"/>
  <c r="BF80" i="3"/>
  <c r="BG80" i="3"/>
  <c r="BH80" i="3"/>
  <c r="BI80" i="3"/>
  <c r="BJ80" i="3"/>
  <c r="BK80" i="3"/>
  <c r="BL80" i="3"/>
  <c r="AQ68" i="3"/>
  <c r="AR68" i="3"/>
  <c r="AS68" i="3"/>
  <c r="AT68" i="3"/>
  <c r="AU68" i="3"/>
  <c r="AV68" i="3"/>
  <c r="AW68" i="3"/>
  <c r="AX68" i="3"/>
  <c r="AY68" i="3"/>
  <c r="AZ68" i="3"/>
  <c r="BA68" i="3"/>
  <c r="BB68" i="3"/>
  <c r="BC68" i="3"/>
  <c r="BD68" i="3"/>
  <c r="BE68" i="3"/>
  <c r="BF68" i="3"/>
  <c r="BG68" i="3"/>
  <c r="BH68" i="3"/>
  <c r="BI68" i="3"/>
  <c r="BJ68" i="3"/>
  <c r="BK68" i="3"/>
  <c r="BL68" i="3"/>
  <c r="AQ8" i="3"/>
  <c r="AO5" i="10"/>
  <c r="AO27" i="10"/>
  <c r="AO45" i="10"/>
  <c r="AO10" i="10"/>
  <c r="AO4" i="10"/>
  <c r="AO79" i="10"/>
  <c r="AO46" i="10"/>
  <c r="K110" i="7"/>
  <c r="AR75" i="3"/>
  <c r="AR81" i="3"/>
  <c r="AS81" i="3"/>
  <c r="AT81" i="3"/>
  <c r="AU81" i="3"/>
  <c r="AV81" i="3"/>
  <c r="AW81" i="3"/>
  <c r="AX81" i="3"/>
  <c r="AY81" i="3"/>
  <c r="AZ81" i="3"/>
  <c r="BA81" i="3"/>
  <c r="BB81" i="3"/>
  <c r="BC81" i="3"/>
  <c r="BD81" i="3"/>
  <c r="BE81" i="3"/>
  <c r="BF81" i="3"/>
  <c r="BG81" i="3"/>
  <c r="BH81" i="3"/>
  <c r="BI81" i="3"/>
  <c r="BJ81" i="3"/>
  <c r="BK81" i="3"/>
  <c r="BL81" i="3"/>
  <c r="AR69" i="3"/>
  <c r="AS69" i="3"/>
  <c r="AT69" i="3"/>
  <c r="AU69" i="3"/>
  <c r="AV69" i="3"/>
  <c r="AW69" i="3"/>
  <c r="AX69" i="3"/>
  <c r="AY69" i="3"/>
  <c r="AZ69" i="3"/>
  <c r="BA69" i="3"/>
  <c r="BB69" i="3"/>
  <c r="BC69" i="3"/>
  <c r="BD69" i="3"/>
  <c r="BE69" i="3"/>
  <c r="BF69" i="3"/>
  <c r="BG69" i="3"/>
  <c r="BH69" i="3"/>
  <c r="BI69" i="3"/>
  <c r="BJ69" i="3"/>
  <c r="BK69" i="3"/>
  <c r="BL69" i="3"/>
  <c r="AR8" i="3"/>
  <c r="AP5" i="10"/>
  <c r="AP27" i="10"/>
  <c r="AP45" i="10"/>
  <c r="AP10" i="10"/>
  <c r="AP4" i="10"/>
  <c r="AP79" i="10"/>
  <c r="AP46" i="10"/>
  <c r="L110" i="7"/>
  <c r="AS75" i="3"/>
  <c r="AS82" i="3"/>
  <c r="AT82" i="3"/>
  <c r="AU82" i="3"/>
  <c r="AV82" i="3"/>
  <c r="AW82" i="3"/>
  <c r="AX82" i="3"/>
  <c r="AY82" i="3"/>
  <c r="AZ82" i="3"/>
  <c r="BA82" i="3"/>
  <c r="BB82" i="3"/>
  <c r="BC82" i="3"/>
  <c r="BD82" i="3"/>
  <c r="BE82" i="3"/>
  <c r="BF82" i="3"/>
  <c r="BG82" i="3"/>
  <c r="BH82" i="3"/>
  <c r="BI82" i="3"/>
  <c r="BJ82" i="3"/>
  <c r="BK82" i="3"/>
  <c r="BL82" i="3"/>
  <c r="AS70" i="3"/>
  <c r="AT70" i="3"/>
  <c r="AU70" i="3"/>
  <c r="AV70" i="3"/>
  <c r="AW70" i="3"/>
  <c r="AX70" i="3"/>
  <c r="AY70" i="3"/>
  <c r="AZ70" i="3"/>
  <c r="BA70" i="3"/>
  <c r="BB70" i="3"/>
  <c r="BC70" i="3"/>
  <c r="BD70" i="3"/>
  <c r="BE70" i="3"/>
  <c r="BF70" i="3"/>
  <c r="BG70" i="3"/>
  <c r="BH70" i="3"/>
  <c r="BI70" i="3"/>
  <c r="BJ70" i="3"/>
  <c r="BK70" i="3"/>
  <c r="BL70" i="3"/>
  <c r="AS8" i="3"/>
  <c r="AQ5" i="10"/>
  <c r="AQ27" i="10"/>
  <c r="AQ45" i="10"/>
  <c r="AQ10" i="10"/>
  <c r="AQ4" i="10"/>
  <c r="AQ79" i="10"/>
  <c r="AQ46" i="10"/>
  <c r="M110" i="7"/>
  <c r="AT75" i="3"/>
  <c r="AT83" i="3"/>
  <c r="AU83" i="3"/>
  <c r="AV83" i="3"/>
  <c r="AW83" i="3"/>
  <c r="AX83" i="3"/>
  <c r="AY83" i="3"/>
  <c r="AZ83" i="3"/>
  <c r="BA83" i="3"/>
  <c r="BB83" i="3"/>
  <c r="BC83" i="3"/>
  <c r="BD83" i="3"/>
  <c r="BE83" i="3"/>
  <c r="BF83" i="3"/>
  <c r="BG83" i="3"/>
  <c r="BH83" i="3"/>
  <c r="BI83" i="3"/>
  <c r="BJ83" i="3"/>
  <c r="BK83" i="3"/>
  <c r="BL83" i="3"/>
  <c r="AT71" i="3"/>
  <c r="AU71" i="3"/>
  <c r="AV71" i="3"/>
  <c r="AW71" i="3"/>
  <c r="AX71" i="3"/>
  <c r="AY71" i="3"/>
  <c r="AZ71" i="3"/>
  <c r="BA71" i="3"/>
  <c r="BB71" i="3"/>
  <c r="BC71" i="3"/>
  <c r="BD71" i="3"/>
  <c r="BE71" i="3"/>
  <c r="BF71" i="3"/>
  <c r="BG71" i="3"/>
  <c r="BH71" i="3"/>
  <c r="BI71" i="3"/>
  <c r="BJ71" i="3"/>
  <c r="BK71" i="3"/>
  <c r="BL71" i="3"/>
  <c r="AT8" i="3"/>
  <c r="AR5" i="10"/>
  <c r="AR27" i="10"/>
  <c r="AR45" i="10"/>
  <c r="AR10" i="10"/>
  <c r="AR4" i="10"/>
  <c r="AR79" i="10"/>
  <c r="AR46" i="10"/>
  <c r="N110" i="7"/>
  <c r="AU75" i="3"/>
  <c r="AU84" i="3"/>
  <c r="AV84" i="3"/>
  <c r="AW84" i="3"/>
  <c r="AX84" i="3"/>
  <c r="AY84" i="3"/>
  <c r="AZ84" i="3"/>
  <c r="BA84" i="3"/>
  <c r="BB84" i="3"/>
  <c r="BC84" i="3"/>
  <c r="BD84" i="3"/>
  <c r="BE84" i="3"/>
  <c r="BF84" i="3"/>
  <c r="BG84" i="3"/>
  <c r="BH84" i="3"/>
  <c r="BI84" i="3"/>
  <c r="BJ84" i="3"/>
  <c r="BK84" i="3"/>
  <c r="BL84" i="3"/>
  <c r="AU72" i="3"/>
  <c r="AV72" i="3"/>
  <c r="AW72" i="3"/>
  <c r="AX72" i="3"/>
  <c r="AY72" i="3"/>
  <c r="AZ72" i="3"/>
  <c r="BA72" i="3"/>
  <c r="BB72" i="3"/>
  <c r="BC72" i="3"/>
  <c r="BD72" i="3"/>
  <c r="BE72" i="3"/>
  <c r="BF72" i="3"/>
  <c r="BG72" i="3"/>
  <c r="BH72" i="3"/>
  <c r="BI72" i="3"/>
  <c r="BJ72" i="3"/>
  <c r="BK72" i="3"/>
  <c r="BL72" i="3"/>
  <c r="AU8" i="3"/>
  <c r="AS5" i="10"/>
  <c r="AS27" i="10"/>
  <c r="AS45" i="10"/>
  <c r="AS10" i="10"/>
  <c r="AS4" i="10"/>
  <c r="AS79" i="10"/>
  <c r="AS46" i="10"/>
  <c r="O110" i="7"/>
  <c r="AV75" i="3"/>
  <c r="AV85" i="3"/>
  <c r="AW85" i="3"/>
  <c r="AX85" i="3"/>
  <c r="AY85" i="3"/>
  <c r="AZ85" i="3"/>
  <c r="BA85" i="3"/>
  <c r="BB85" i="3"/>
  <c r="BC85" i="3"/>
  <c r="BD85" i="3"/>
  <c r="BE85" i="3"/>
  <c r="BF85" i="3"/>
  <c r="BG85" i="3"/>
  <c r="BH85" i="3"/>
  <c r="BI85" i="3"/>
  <c r="BJ85" i="3"/>
  <c r="BK85" i="3"/>
  <c r="BL85" i="3"/>
  <c r="AV73" i="3"/>
  <c r="AW73" i="3"/>
  <c r="AX73" i="3"/>
  <c r="AY73" i="3"/>
  <c r="AZ73" i="3"/>
  <c r="BA73" i="3"/>
  <c r="BB73" i="3"/>
  <c r="BC73" i="3"/>
  <c r="BD73" i="3"/>
  <c r="BE73" i="3"/>
  <c r="BF73" i="3"/>
  <c r="BG73" i="3"/>
  <c r="BH73" i="3"/>
  <c r="BI73" i="3"/>
  <c r="BJ73" i="3"/>
  <c r="BK73" i="3"/>
  <c r="BL73" i="3"/>
  <c r="AV8" i="3"/>
  <c r="AT5" i="10"/>
  <c r="AT27" i="10"/>
  <c r="AT45" i="10"/>
  <c r="AT10" i="10"/>
  <c r="AT4" i="10"/>
  <c r="AT79" i="10"/>
  <c r="AT46" i="10"/>
  <c r="P110" i="7"/>
  <c r="AW75" i="3"/>
  <c r="AW86" i="3"/>
  <c r="AX86" i="3"/>
  <c r="AY86" i="3"/>
  <c r="AZ86" i="3"/>
  <c r="BA86" i="3"/>
  <c r="BB86" i="3"/>
  <c r="BC86" i="3"/>
  <c r="BD86" i="3"/>
  <c r="BE86" i="3"/>
  <c r="BF86" i="3"/>
  <c r="BG86" i="3"/>
  <c r="BH86" i="3"/>
  <c r="BI86" i="3"/>
  <c r="BJ86" i="3"/>
  <c r="BK86" i="3"/>
  <c r="BL86" i="3"/>
  <c r="AW74" i="3"/>
  <c r="AX74" i="3"/>
  <c r="AY74" i="3"/>
  <c r="AZ74" i="3"/>
  <c r="BA74" i="3"/>
  <c r="BB74" i="3"/>
  <c r="BC74" i="3"/>
  <c r="BD74" i="3"/>
  <c r="BE74" i="3"/>
  <c r="BF74" i="3"/>
  <c r="BG74" i="3"/>
  <c r="BH74" i="3"/>
  <c r="BI74" i="3"/>
  <c r="BJ74" i="3"/>
  <c r="BK74" i="3"/>
  <c r="BL74" i="3"/>
  <c r="AW8" i="3"/>
  <c r="AU5" i="10"/>
  <c r="AU27" i="10"/>
  <c r="AU45" i="10"/>
  <c r="AU10" i="10"/>
  <c r="AU4" i="10"/>
  <c r="AU79" i="10"/>
  <c r="AU46" i="10"/>
  <c r="Q110" i="7"/>
  <c r="AV5" i="10"/>
  <c r="AV27" i="10"/>
  <c r="AV45" i="10"/>
  <c r="AV10" i="10"/>
  <c r="AV4" i="10"/>
  <c r="AV79" i="10"/>
  <c r="AV46" i="10"/>
  <c r="R91" i="7"/>
  <c r="AW5" i="10"/>
  <c r="AW27" i="10"/>
  <c r="AW45" i="10"/>
  <c r="AW10" i="10"/>
  <c r="AW4" i="10"/>
  <c r="AW79" i="10"/>
  <c r="AW46" i="10"/>
  <c r="S91" i="7"/>
  <c r="AX5" i="10"/>
  <c r="AX27" i="10"/>
  <c r="AX45" i="10"/>
  <c r="AX10" i="10"/>
  <c r="AX4" i="10"/>
  <c r="AX79" i="10"/>
  <c r="AX46" i="10"/>
  <c r="T91" i="7"/>
  <c r="AY5" i="10"/>
  <c r="AY27" i="10"/>
  <c r="AY45" i="10"/>
  <c r="AY10" i="10"/>
  <c r="AY4" i="10"/>
  <c r="AY79" i="10"/>
  <c r="AY46" i="10"/>
  <c r="U91" i="7"/>
  <c r="AZ5" i="10"/>
  <c r="AZ27" i="10"/>
  <c r="AZ45" i="10"/>
  <c r="AZ10" i="10"/>
  <c r="AZ4" i="10"/>
  <c r="AZ79" i="10"/>
  <c r="AZ46" i="10"/>
  <c r="V91" i="7"/>
  <c r="BA5" i="10"/>
  <c r="BA27" i="10"/>
  <c r="BA45" i="10"/>
  <c r="BA10" i="10"/>
  <c r="BA4" i="10"/>
  <c r="BA79" i="10"/>
  <c r="BA46" i="10"/>
  <c r="W91" i="7"/>
  <c r="BB5" i="10"/>
  <c r="BB27" i="10"/>
  <c r="BB45" i="10"/>
  <c r="BB10" i="10"/>
  <c r="BB4" i="10"/>
  <c r="BB79" i="10"/>
  <c r="BB46" i="10"/>
  <c r="X91" i="7"/>
  <c r="BC5" i="10"/>
  <c r="BC27" i="10"/>
  <c r="BC45" i="10"/>
  <c r="BC10" i="10"/>
  <c r="BC4" i="10"/>
  <c r="BC79" i="10"/>
  <c r="BC46" i="10"/>
  <c r="Y91" i="7"/>
  <c r="BD5" i="10"/>
  <c r="BD27" i="10"/>
  <c r="BD45" i="10"/>
  <c r="BD10" i="10"/>
  <c r="BD4" i="10"/>
  <c r="BD79" i="10"/>
  <c r="BD46" i="10"/>
  <c r="Z91" i="7"/>
  <c r="BE5" i="10"/>
  <c r="BE27" i="10"/>
  <c r="BE45" i="10"/>
  <c r="BE10" i="10"/>
  <c r="BE4" i="10"/>
  <c r="BE79" i="10"/>
  <c r="BE46" i="10"/>
  <c r="AA91" i="7"/>
  <c r="BF5" i="10"/>
  <c r="BF27" i="10"/>
  <c r="BF45" i="10"/>
  <c r="BF10" i="10"/>
  <c r="BF4" i="10"/>
  <c r="BF79" i="10"/>
  <c r="BF46" i="10"/>
  <c r="AB91" i="7"/>
  <c r="BG5" i="10"/>
  <c r="BG27" i="10"/>
  <c r="BG45" i="10"/>
  <c r="BG10" i="10"/>
  <c r="BG4" i="10"/>
  <c r="BG79" i="10"/>
  <c r="BG46" i="10"/>
  <c r="AC91" i="7"/>
  <c r="BH5" i="10"/>
  <c r="BH27" i="10"/>
  <c r="BH45" i="10"/>
  <c r="BH10" i="10"/>
  <c r="BH4" i="10"/>
  <c r="BH79" i="10"/>
  <c r="BH46" i="10"/>
  <c r="AD91" i="7"/>
  <c r="BI5" i="10"/>
  <c r="BI27" i="10"/>
  <c r="BI45" i="10"/>
  <c r="BI10" i="10"/>
  <c r="BI4" i="10"/>
  <c r="BI79" i="10"/>
  <c r="BI46" i="10"/>
  <c r="AE91" i="7"/>
  <c r="BJ5" i="10"/>
  <c r="BJ27" i="10"/>
  <c r="BJ45" i="10"/>
  <c r="BJ10" i="10"/>
  <c r="BJ4" i="10"/>
  <c r="BJ79" i="10"/>
  <c r="BJ46" i="10"/>
  <c r="AF91" i="7"/>
  <c r="Q81" i="7"/>
  <c r="P5" i="10"/>
  <c r="P45" i="10"/>
  <c r="P10" i="10"/>
  <c r="P4" i="10"/>
  <c r="P46" i="10"/>
  <c r="I167" i="3"/>
  <c r="I166" i="3"/>
  <c r="J167" i="3"/>
  <c r="J166" i="3"/>
  <c r="K167" i="3"/>
  <c r="K166" i="3"/>
  <c r="L167" i="3"/>
  <c r="L166" i="3"/>
  <c r="M167" i="3"/>
  <c r="M166" i="3"/>
  <c r="N167" i="3"/>
  <c r="N166" i="3"/>
  <c r="O167" i="3"/>
  <c r="O166" i="3"/>
  <c r="P167" i="3"/>
  <c r="P166" i="3"/>
  <c r="Q109" i="7"/>
  <c r="Q167" i="3"/>
  <c r="Q166" i="3"/>
  <c r="AN29" i="3"/>
  <c r="AN189" i="3"/>
  <c r="AN191" i="3"/>
  <c r="AN60" i="3"/>
  <c r="AN193" i="3"/>
  <c r="AN195" i="3"/>
  <c r="AO29" i="3"/>
  <c r="AO189" i="3"/>
  <c r="AO191" i="3"/>
  <c r="AO60" i="3"/>
  <c r="AO193" i="3"/>
  <c r="AO195" i="3"/>
  <c r="AP29" i="3"/>
  <c r="AP189" i="3"/>
  <c r="AP191" i="3"/>
  <c r="AP60" i="3"/>
  <c r="AP193" i="3"/>
  <c r="AP195" i="3"/>
  <c r="AQ29" i="3"/>
  <c r="AQ189" i="3"/>
  <c r="AQ191" i="3"/>
  <c r="AQ60" i="3"/>
  <c r="AQ193" i="3"/>
  <c r="AQ195" i="3"/>
  <c r="AR29" i="3"/>
  <c r="AR189" i="3"/>
  <c r="AR191" i="3"/>
  <c r="AR60" i="3"/>
  <c r="AR193" i="3"/>
  <c r="AR195" i="3"/>
  <c r="AS29" i="3"/>
  <c r="AS189" i="3"/>
  <c r="AS191" i="3"/>
  <c r="AS60" i="3"/>
  <c r="AS193" i="3"/>
  <c r="AS195" i="3"/>
  <c r="AT29" i="3"/>
  <c r="AT189" i="3"/>
  <c r="AT191" i="3"/>
  <c r="AT60" i="3"/>
  <c r="AT193" i="3"/>
  <c r="AT195" i="3"/>
  <c r="AU29" i="3"/>
  <c r="AU189" i="3"/>
  <c r="AU191" i="3"/>
  <c r="AU60" i="3"/>
  <c r="AU193" i="3"/>
  <c r="AU195" i="3"/>
  <c r="AV29" i="3"/>
  <c r="AV189" i="3"/>
  <c r="AV191" i="3"/>
  <c r="AV60" i="3"/>
  <c r="AV193" i="3"/>
  <c r="AV195" i="3"/>
  <c r="AW29" i="3"/>
  <c r="AW189" i="3"/>
  <c r="AW191" i="3"/>
  <c r="AW60" i="3"/>
  <c r="AW193" i="3"/>
  <c r="AW195" i="3"/>
  <c r="AX29" i="3"/>
  <c r="AX189" i="3"/>
  <c r="AX191" i="3"/>
  <c r="AX60" i="3"/>
  <c r="AX193" i="3"/>
  <c r="AX195" i="3"/>
  <c r="AY29" i="3"/>
  <c r="AY189" i="3"/>
  <c r="AY191" i="3"/>
  <c r="AY60" i="3"/>
  <c r="AY193" i="3"/>
  <c r="AY195" i="3"/>
  <c r="AZ29" i="3"/>
  <c r="AZ189" i="3"/>
  <c r="AZ191" i="3"/>
  <c r="AZ60" i="3"/>
  <c r="AZ193" i="3"/>
  <c r="AZ195" i="3"/>
  <c r="BA29" i="3"/>
  <c r="BA189" i="3"/>
  <c r="BA191" i="3"/>
  <c r="BA60" i="3"/>
  <c r="BA193" i="3"/>
  <c r="BA195" i="3"/>
  <c r="BB29" i="3"/>
  <c r="BB189" i="3"/>
  <c r="BB191" i="3"/>
  <c r="BB60" i="3"/>
  <c r="BB193" i="3"/>
  <c r="BB195" i="3"/>
  <c r="BC29" i="3"/>
  <c r="BC189" i="3"/>
  <c r="BC191" i="3"/>
  <c r="BC60" i="3"/>
  <c r="BC193" i="3"/>
  <c r="BC195" i="3"/>
  <c r="BD29" i="3"/>
  <c r="BD189" i="3"/>
  <c r="BD191" i="3"/>
  <c r="BD60" i="3"/>
  <c r="BD193" i="3"/>
  <c r="BD195" i="3"/>
  <c r="BE29" i="3"/>
  <c r="BE189" i="3"/>
  <c r="BE191" i="3"/>
  <c r="BE60" i="3"/>
  <c r="BE193" i="3"/>
  <c r="BE195" i="3"/>
  <c r="BF29" i="3"/>
  <c r="BF189" i="3"/>
  <c r="BF191" i="3"/>
  <c r="BF60" i="3"/>
  <c r="BF193" i="3"/>
  <c r="BF195" i="3"/>
  <c r="BG29" i="3"/>
  <c r="BG189" i="3"/>
  <c r="BG191" i="3"/>
  <c r="BG60" i="3"/>
  <c r="BG193" i="3"/>
  <c r="BG195" i="3"/>
  <c r="BH29" i="3"/>
  <c r="BH189" i="3"/>
  <c r="BH191" i="3"/>
  <c r="BH60" i="3"/>
  <c r="BH193" i="3"/>
  <c r="BH195" i="3"/>
  <c r="BI29" i="3"/>
  <c r="BI189" i="3"/>
  <c r="BI191" i="3"/>
  <c r="BI60" i="3"/>
  <c r="BI193" i="3"/>
  <c r="BI195" i="3"/>
  <c r="BJ29" i="3"/>
  <c r="BJ189" i="3"/>
  <c r="BJ191" i="3"/>
  <c r="BJ60" i="3"/>
  <c r="BJ193" i="3"/>
  <c r="BJ195" i="3"/>
  <c r="BK29" i="3"/>
  <c r="BK189" i="3"/>
  <c r="BK191" i="3"/>
  <c r="BK60" i="3"/>
  <c r="BK193" i="3"/>
  <c r="BK195" i="3"/>
  <c r="BL29" i="3"/>
  <c r="BL189" i="3"/>
  <c r="BL191" i="3"/>
  <c r="BL60" i="3"/>
  <c r="BL193" i="3"/>
  <c r="BL195" i="3"/>
  <c r="AM191" i="3"/>
  <c r="AM193" i="3"/>
  <c r="AM195" i="3"/>
  <c r="H189" i="3"/>
  <c r="H191" i="3"/>
  <c r="H193" i="3"/>
  <c r="I189" i="3"/>
  <c r="I191" i="3"/>
  <c r="I193" i="3"/>
  <c r="J189" i="3"/>
  <c r="J191" i="3"/>
  <c r="J193" i="3"/>
  <c r="K189" i="3"/>
  <c r="K191" i="3"/>
  <c r="K193" i="3"/>
  <c r="L189" i="3"/>
  <c r="L191" i="3"/>
  <c r="L193" i="3"/>
  <c r="M189" i="3"/>
  <c r="M191" i="3"/>
  <c r="M193" i="3"/>
  <c r="N189" i="3"/>
  <c r="N191" i="3"/>
  <c r="N193" i="3"/>
  <c r="O189" i="3"/>
  <c r="O191" i="3"/>
  <c r="O193" i="3"/>
  <c r="P189" i="3"/>
  <c r="P191" i="3"/>
  <c r="P193" i="3"/>
  <c r="Q189" i="3"/>
  <c r="Q191" i="3"/>
  <c r="Q193" i="3"/>
  <c r="R189" i="3"/>
  <c r="R191" i="3"/>
  <c r="R193" i="3"/>
  <c r="S189" i="3"/>
  <c r="S191" i="3"/>
  <c r="S193" i="3"/>
  <c r="T189" i="3"/>
  <c r="T191" i="3"/>
  <c r="T193" i="3"/>
  <c r="U189" i="3"/>
  <c r="U191" i="3"/>
  <c r="U193" i="3"/>
  <c r="V189" i="3"/>
  <c r="V191" i="3"/>
  <c r="V193" i="3"/>
  <c r="W189" i="3"/>
  <c r="W191" i="3"/>
  <c r="W193" i="3"/>
  <c r="X189" i="3"/>
  <c r="X191" i="3"/>
  <c r="X193" i="3"/>
  <c r="Y189" i="3"/>
  <c r="Y191" i="3"/>
  <c r="Y193" i="3"/>
  <c r="Z189" i="3"/>
  <c r="Z191" i="3"/>
  <c r="Z193" i="3"/>
  <c r="AA189" i="3"/>
  <c r="AA191" i="3"/>
  <c r="AA193" i="3"/>
  <c r="AB189" i="3"/>
  <c r="AB191" i="3"/>
  <c r="AB193" i="3"/>
  <c r="AC189" i="3"/>
  <c r="AC191" i="3"/>
  <c r="AC193" i="3"/>
  <c r="AD189" i="3"/>
  <c r="AD191" i="3"/>
  <c r="AD193" i="3"/>
  <c r="AE189" i="3"/>
  <c r="AE191" i="3"/>
  <c r="AE193" i="3"/>
  <c r="AF189" i="3"/>
  <c r="AF191" i="3"/>
  <c r="AF193" i="3"/>
  <c r="G193" i="3"/>
  <c r="H68" i="7"/>
  <c r="I68" i="7"/>
  <c r="J68" i="7"/>
  <c r="K68" i="7"/>
  <c r="L68" i="7"/>
  <c r="M68" i="7"/>
  <c r="N68" i="7"/>
  <c r="O68" i="7"/>
  <c r="P68" i="7"/>
  <c r="Q68" i="7"/>
  <c r="R68" i="7"/>
  <c r="S68" i="7"/>
  <c r="T68" i="7"/>
  <c r="U68" i="7"/>
  <c r="V68" i="7"/>
  <c r="W68" i="7"/>
  <c r="X68" i="7"/>
  <c r="Y68" i="7"/>
  <c r="Z68" i="7"/>
  <c r="AA68" i="7"/>
  <c r="AB68" i="7"/>
  <c r="AC68" i="7"/>
  <c r="AD68" i="7"/>
  <c r="AE68" i="7"/>
  <c r="AF68" i="7"/>
  <c r="G7" i="7"/>
  <c r="G16" i="7"/>
  <c r="G8" i="7"/>
  <c r="G17" i="7"/>
  <c r="G9" i="7"/>
  <c r="G18" i="7"/>
  <c r="G31" i="7"/>
  <c r="G32" i="7"/>
  <c r="G60" i="7"/>
  <c r="G61" i="7"/>
  <c r="G59" i="7"/>
  <c r="G66" i="7"/>
  <c r="G68" i="7"/>
  <c r="AL44" i="10"/>
  <c r="AN64" i="3"/>
  <c r="AL12" i="10"/>
  <c r="AL13" i="10"/>
  <c r="AL14" i="10"/>
  <c r="AN76" i="3"/>
  <c r="AL15" i="10"/>
  <c r="AL17" i="10"/>
  <c r="AL18" i="10"/>
  <c r="AL19" i="10"/>
  <c r="AL8" i="10"/>
  <c r="AL33" i="10"/>
  <c r="AL50" i="10"/>
  <c r="AL49" i="10"/>
  <c r="AL53" i="10"/>
  <c r="AM44" i="10"/>
  <c r="AO64" i="3"/>
  <c r="AM12" i="10"/>
  <c r="AM13" i="10"/>
  <c r="AM14" i="10"/>
  <c r="AO76" i="3"/>
  <c r="AM15" i="10"/>
  <c r="AM17" i="10"/>
  <c r="AM18" i="10"/>
  <c r="AM19" i="10"/>
  <c r="AM8" i="10"/>
  <c r="AM33" i="10"/>
  <c r="AM50" i="10"/>
  <c r="AM49" i="10"/>
  <c r="AM53" i="10"/>
  <c r="AN44" i="10"/>
  <c r="AP64" i="3"/>
  <c r="AN12" i="10"/>
  <c r="AN13" i="10"/>
  <c r="AN14" i="10"/>
  <c r="AP76" i="3"/>
  <c r="AN15" i="10"/>
  <c r="AN17" i="10"/>
  <c r="AN18" i="10"/>
  <c r="AN19" i="10"/>
  <c r="AN8" i="10"/>
  <c r="AN33" i="10"/>
  <c r="AN50" i="10"/>
  <c r="AN49" i="10"/>
  <c r="AN53" i="10"/>
  <c r="AO44" i="10"/>
  <c r="AQ64" i="3"/>
  <c r="AO12" i="10"/>
  <c r="AO13" i="10"/>
  <c r="AO14" i="10"/>
  <c r="AQ76" i="3"/>
  <c r="AO15" i="10"/>
  <c r="AO17" i="10"/>
  <c r="AO18" i="10"/>
  <c r="AO19" i="10"/>
  <c r="AO8" i="10"/>
  <c r="AO33" i="10"/>
  <c r="AO50" i="10"/>
  <c r="AO49" i="10"/>
  <c r="AO53" i="10"/>
  <c r="AP44" i="10"/>
  <c r="AR64" i="3"/>
  <c r="AP12" i="10"/>
  <c r="AP13" i="10"/>
  <c r="AP14" i="10"/>
  <c r="AR76" i="3"/>
  <c r="AP15" i="10"/>
  <c r="AP17" i="10"/>
  <c r="AP18" i="10"/>
  <c r="AP19" i="10"/>
  <c r="AP8" i="10"/>
  <c r="AP33" i="10"/>
  <c r="AP50" i="10"/>
  <c r="AP49" i="10"/>
  <c r="AP53" i="10"/>
  <c r="AQ44" i="10"/>
  <c r="AS64" i="3"/>
  <c r="AQ12" i="10"/>
  <c r="AQ13" i="10"/>
  <c r="AQ14" i="10"/>
  <c r="AS76" i="3"/>
  <c r="AQ15" i="10"/>
  <c r="AQ17" i="10"/>
  <c r="AQ18" i="10"/>
  <c r="AQ19" i="10"/>
  <c r="AQ8" i="10"/>
  <c r="AQ33" i="10"/>
  <c r="AQ50" i="10"/>
  <c r="AQ49" i="10"/>
  <c r="AQ53" i="10"/>
  <c r="AR44" i="10"/>
  <c r="AT64" i="3"/>
  <c r="AR12" i="10"/>
  <c r="AR13" i="10"/>
  <c r="AR14" i="10"/>
  <c r="AT76" i="3"/>
  <c r="AR15" i="10"/>
  <c r="AR17" i="10"/>
  <c r="AR18" i="10"/>
  <c r="AR19" i="10"/>
  <c r="AR8" i="10"/>
  <c r="AR33" i="10"/>
  <c r="AR50" i="10"/>
  <c r="AR49" i="10"/>
  <c r="AR53" i="10"/>
  <c r="AS44" i="10"/>
  <c r="AU64" i="3"/>
  <c r="AS12" i="10"/>
  <c r="AS13" i="10"/>
  <c r="AS14" i="10"/>
  <c r="AU76" i="3"/>
  <c r="AS15" i="10"/>
  <c r="AS17" i="10"/>
  <c r="AS18" i="10"/>
  <c r="AS19" i="10"/>
  <c r="AS8" i="10"/>
  <c r="AS33" i="10"/>
  <c r="AS50" i="10"/>
  <c r="AS49" i="10"/>
  <c r="AS53" i="10"/>
  <c r="AT44" i="10"/>
  <c r="AV64" i="3"/>
  <c r="AT12" i="10"/>
  <c r="AT13" i="10"/>
  <c r="AT14" i="10"/>
  <c r="AV76" i="3"/>
  <c r="AT15" i="10"/>
  <c r="AT17" i="10"/>
  <c r="AT18" i="10"/>
  <c r="AT19" i="10"/>
  <c r="AT8" i="10"/>
  <c r="AT33" i="10"/>
  <c r="AT50" i="10"/>
  <c r="AT49" i="10"/>
  <c r="AT53" i="10"/>
  <c r="AU44" i="10"/>
  <c r="AW64" i="3"/>
  <c r="AU12" i="10"/>
  <c r="AU13" i="10"/>
  <c r="AU14" i="10"/>
  <c r="AW76" i="3"/>
  <c r="AU15" i="10"/>
  <c r="AU17" i="10"/>
  <c r="AU18" i="10"/>
  <c r="AU19" i="10"/>
  <c r="AU8" i="10"/>
  <c r="AU33" i="10"/>
  <c r="AU50" i="10"/>
  <c r="AU49" i="10"/>
  <c r="AU53" i="10"/>
  <c r="AV44" i="10"/>
  <c r="AX64" i="3"/>
  <c r="AV12" i="10"/>
  <c r="AV13" i="10"/>
  <c r="AV14" i="10"/>
  <c r="AX76" i="3"/>
  <c r="AV15" i="10"/>
  <c r="AV17" i="10"/>
  <c r="AV18" i="10"/>
  <c r="AV19" i="10"/>
  <c r="AV8" i="10"/>
  <c r="AV33" i="10"/>
  <c r="AV50" i="10"/>
  <c r="AV49" i="10"/>
  <c r="AV53" i="10"/>
  <c r="AW44" i="10"/>
  <c r="AY64" i="3"/>
  <c r="AW12" i="10"/>
  <c r="AW13" i="10"/>
  <c r="AW14" i="10"/>
  <c r="AY76" i="3"/>
  <c r="AW15" i="10"/>
  <c r="AW17" i="10"/>
  <c r="AW18" i="10"/>
  <c r="AW19" i="10"/>
  <c r="AW8" i="10"/>
  <c r="AW33" i="10"/>
  <c r="AW50" i="10"/>
  <c r="AW49" i="10"/>
  <c r="AW53" i="10"/>
  <c r="AX44" i="10"/>
  <c r="AZ64" i="3"/>
  <c r="AX12" i="10"/>
  <c r="AX13" i="10"/>
  <c r="AX14" i="10"/>
  <c r="AZ76" i="3"/>
  <c r="AX15" i="10"/>
  <c r="AX17" i="10"/>
  <c r="AX18" i="10"/>
  <c r="AX19" i="10"/>
  <c r="AX8" i="10"/>
  <c r="AX33" i="10"/>
  <c r="AX50" i="10"/>
  <c r="AX49" i="10"/>
  <c r="AX53" i="10"/>
  <c r="AY44" i="10"/>
  <c r="BA64" i="3"/>
  <c r="AY12" i="10"/>
  <c r="AY13" i="10"/>
  <c r="AY14" i="10"/>
  <c r="BA76" i="3"/>
  <c r="AY15" i="10"/>
  <c r="AY17" i="10"/>
  <c r="AY18" i="10"/>
  <c r="AY19" i="10"/>
  <c r="AY8" i="10"/>
  <c r="AY33" i="10"/>
  <c r="AY50" i="10"/>
  <c r="AY49" i="10"/>
  <c r="AY53" i="10"/>
  <c r="AZ44" i="10"/>
  <c r="BB64" i="3"/>
  <c r="AZ12" i="10"/>
  <c r="AZ13" i="10"/>
  <c r="AZ14" i="10"/>
  <c r="BB76" i="3"/>
  <c r="AZ15" i="10"/>
  <c r="AZ17" i="10"/>
  <c r="AZ18" i="10"/>
  <c r="AZ19" i="10"/>
  <c r="AZ8" i="10"/>
  <c r="AZ33" i="10"/>
  <c r="AZ50" i="10"/>
  <c r="AZ49" i="10"/>
  <c r="AZ53" i="10"/>
  <c r="BA44" i="10"/>
  <c r="BC64" i="3"/>
  <c r="BA12" i="10"/>
  <c r="BA13" i="10"/>
  <c r="BA14" i="10"/>
  <c r="BC76" i="3"/>
  <c r="BA15" i="10"/>
  <c r="BA17" i="10"/>
  <c r="BA18" i="10"/>
  <c r="BA19" i="10"/>
  <c r="BA8" i="10"/>
  <c r="BA33" i="10"/>
  <c r="BA50" i="10"/>
  <c r="BA49" i="10"/>
  <c r="BA53" i="10"/>
  <c r="BB44" i="10"/>
  <c r="BD64" i="3"/>
  <c r="BB12" i="10"/>
  <c r="BB13" i="10"/>
  <c r="BB14" i="10"/>
  <c r="BD76" i="3"/>
  <c r="BB15" i="10"/>
  <c r="BB17" i="10"/>
  <c r="BB18" i="10"/>
  <c r="BB19" i="10"/>
  <c r="BB8" i="10"/>
  <c r="BB33" i="10"/>
  <c r="BB50" i="10"/>
  <c r="BB49" i="10"/>
  <c r="BB53" i="10"/>
  <c r="BC44" i="10"/>
  <c r="BE64" i="3"/>
  <c r="BC12" i="10"/>
  <c r="BC13" i="10"/>
  <c r="BC14" i="10"/>
  <c r="BE76" i="3"/>
  <c r="BC15" i="10"/>
  <c r="BC17" i="10"/>
  <c r="BC18" i="10"/>
  <c r="BC19" i="10"/>
  <c r="BC8" i="10"/>
  <c r="BC33" i="10"/>
  <c r="BC50" i="10"/>
  <c r="BC49" i="10"/>
  <c r="BC53" i="10"/>
  <c r="BD44" i="10"/>
  <c r="BF64" i="3"/>
  <c r="BD12" i="10"/>
  <c r="BD13" i="10"/>
  <c r="BD14" i="10"/>
  <c r="BF76" i="3"/>
  <c r="BD15" i="10"/>
  <c r="BD17" i="10"/>
  <c r="BD18" i="10"/>
  <c r="BD19" i="10"/>
  <c r="BD8" i="10"/>
  <c r="BD33" i="10"/>
  <c r="BD50" i="10"/>
  <c r="BD49" i="10"/>
  <c r="BD53" i="10"/>
  <c r="BE44" i="10"/>
  <c r="BG64" i="3"/>
  <c r="BE12" i="10"/>
  <c r="BE13" i="10"/>
  <c r="BE14" i="10"/>
  <c r="BG76" i="3"/>
  <c r="BE15" i="10"/>
  <c r="BE17" i="10"/>
  <c r="BE18" i="10"/>
  <c r="BE19" i="10"/>
  <c r="BE8" i="10"/>
  <c r="BE33" i="10"/>
  <c r="BE50" i="10"/>
  <c r="BE49" i="10"/>
  <c r="BE53" i="10"/>
  <c r="BF44" i="10"/>
  <c r="BH64" i="3"/>
  <c r="BF12" i="10"/>
  <c r="BF13" i="10"/>
  <c r="BF14" i="10"/>
  <c r="BH76" i="3"/>
  <c r="BF15" i="10"/>
  <c r="BF17" i="10"/>
  <c r="BF18" i="10"/>
  <c r="BF19" i="10"/>
  <c r="BF8" i="10"/>
  <c r="BF33" i="10"/>
  <c r="BF50" i="10"/>
  <c r="BF49" i="10"/>
  <c r="BF53" i="10"/>
  <c r="BG44" i="10"/>
  <c r="BI64" i="3"/>
  <c r="BG12" i="10"/>
  <c r="BG13" i="10"/>
  <c r="BG14" i="10"/>
  <c r="BI76" i="3"/>
  <c r="BG15" i="10"/>
  <c r="BG17" i="10"/>
  <c r="BG18" i="10"/>
  <c r="BG19" i="10"/>
  <c r="BG8" i="10"/>
  <c r="BG33" i="10"/>
  <c r="BG50" i="10"/>
  <c r="BG49" i="10"/>
  <c r="BG53" i="10"/>
  <c r="BH44" i="10"/>
  <c r="BJ64" i="3"/>
  <c r="BH12" i="10"/>
  <c r="BH13" i="10"/>
  <c r="BH14" i="10"/>
  <c r="BJ76" i="3"/>
  <c r="BH15" i="10"/>
  <c r="BH17" i="10"/>
  <c r="BH18" i="10"/>
  <c r="BH19" i="10"/>
  <c r="BH8" i="10"/>
  <c r="BH33" i="10"/>
  <c r="BH50" i="10"/>
  <c r="BH49" i="10"/>
  <c r="BH53" i="10"/>
  <c r="BI44" i="10"/>
  <c r="BK64" i="3"/>
  <c r="BI12" i="10"/>
  <c r="BI13" i="10"/>
  <c r="BI14" i="10"/>
  <c r="BK76" i="3"/>
  <c r="BI15" i="10"/>
  <c r="BI17" i="10"/>
  <c r="BI18" i="10"/>
  <c r="BI19" i="10"/>
  <c r="BI8" i="10"/>
  <c r="BI33" i="10"/>
  <c r="BI50" i="10"/>
  <c r="BI49" i="10"/>
  <c r="BI53" i="10"/>
  <c r="BJ44" i="10"/>
  <c r="BL64" i="3"/>
  <c r="BJ12" i="10"/>
  <c r="BJ13" i="10"/>
  <c r="BJ14" i="10"/>
  <c r="BL76" i="3"/>
  <c r="BJ15" i="10"/>
  <c r="BJ17" i="10"/>
  <c r="BJ18" i="10"/>
  <c r="BJ19" i="10"/>
  <c r="BJ8" i="10"/>
  <c r="BJ33" i="10"/>
  <c r="BJ50" i="10"/>
  <c r="BJ49" i="10"/>
  <c r="BJ53" i="10"/>
  <c r="AK42" i="10"/>
  <c r="AK12" i="10"/>
  <c r="AK13" i="10"/>
  <c r="AK17" i="10"/>
  <c r="AK14" i="10"/>
  <c r="AK18" i="10"/>
  <c r="AK15" i="10"/>
  <c r="AK19" i="10"/>
  <c r="AK8" i="10"/>
  <c r="AK33" i="10"/>
  <c r="AK50" i="10"/>
  <c r="AK49" i="10"/>
  <c r="AK44" i="10"/>
  <c r="AK53" i="10"/>
  <c r="AK55" i="10"/>
  <c r="AL97" i="10"/>
  <c r="AL6" i="10"/>
  <c r="AL28" i="10"/>
  <c r="AL63" i="10"/>
  <c r="AL62" i="10"/>
  <c r="AL61" i="10"/>
  <c r="AL67" i="10"/>
  <c r="AL66" i="10"/>
  <c r="AL70" i="10"/>
  <c r="AM6" i="10"/>
  <c r="AM28" i="10"/>
  <c r="AM63" i="10"/>
  <c r="AM62" i="10"/>
  <c r="AM61" i="10"/>
  <c r="AM67" i="10"/>
  <c r="AM66" i="10"/>
  <c r="AM70" i="10"/>
  <c r="AN6" i="10"/>
  <c r="AN28" i="10"/>
  <c r="AN63" i="10"/>
  <c r="AN62" i="10"/>
  <c r="AN61" i="10"/>
  <c r="AN67" i="10"/>
  <c r="AN66" i="10"/>
  <c r="AN70" i="10"/>
  <c r="AO6" i="10"/>
  <c r="AO28" i="10"/>
  <c r="AO63" i="10"/>
  <c r="AO62" i="10"/>
  <c r="AO61" i="10"/>
  <c r="AO67" i="10"/>
  <c r="AO66" i="10"/>
  <c r="AO70" i="10"/>
  <c r="AP6" i="10"/>
  <c r="AP28" i="10"/>
  <c r="AP63" i="10"/>
  <c r="AP62" i="10"/>
  <c r="AP61" i="10"/>
  <c r="AP67" i="10"/>
  <c r="AP66" i="10"/>
  <c r="AP70" i="10"/>
  <c r="AQ6" i="10"/>
  <c r="AQ28" i="10"/>
  <c r="AQ63" i="10"/>
  <c r="AQ62" i="10"/>
  <c r="AQ61" i="10"/>
  <c r="AQ67" i="10"/>
  <c r="AQ66" i="10"/>
  <c r="AQ70" i="10"/>
  <c r="AR6" i="10"/>
  <c r="AR28" i="10"/>
  <c r="AR63" i="10"/>
  <c r="AR62" i="10"/>
  <c r="AR61" i="10"/>
  <c r="AR67" i="10"/>
  <c r="AR66" i="10"/>
  <c r="AR70" i="10"/>
  <c r="AS6" i="10"/>
  <c r="AS28" i="10"/>
  <c r="AS63" i="10"/>
  <c r="AS62" i="10"/>
  <c r="AS61" i="10"/>
  <c r="AS67" i="10"/>
  <c r="AS66" i="10"/>
  <c r="AS70" i="10"/>
  <c r="AT6" i="10"/>
  <c r="AT28" i="10"/>
  <c r="AT63" i="10"/>
  <c r="AT62" i="10"/>
  <c r="AT61" i="10"/>
  <c r="AT67" i="10"/>
  <c r="AT66" i="10"/>
  <c r="AT70" i="10"/>
  <c r="AU6" i="10"/>
  <c r="AU28" i="10"/>
  <c r="AU63" i="10"/>
  <c r="AU62" i="10"/>
  <c r="AU61" i="10"/>
  <c r="AU67" i="10"/>
  <c r="AU66" i="10"/>
  <c r="AU70" i="10"/>
  <c r="AV6" i="10"/>
  <c r="AV28" i="10"/>
  <c r="AV63" i="10"/>
  <c r="AV62" i="10"/>
  <c r="AV61" i="10"/>
  <c r="AV67" i="10"/>
  <c r="AV66" i="10"/>
  <c r="AV70" i="10"/>
  <c r="AW6" i="10"/>
  <c r="AW28" i="10"/>
  <c r="AW63" i="10"/>
  <c r="AW62" i="10"/>
  <c r="AW61" i="10"/>
  <c r="AW67" i="10"/>
  <c r="AW66" i="10"/>
  <c r="AW70" i="10"/>
  <c r="AX6" i="10"/>
  <c r="AX28" i="10"/>
  <c r="AX63" i="10"/>
  <c r="AX62" i="10"/>
  <c r="AX61" i="10"/>
  <c r="AX67" i="10"/>
  <c r="AX66" i="10"/>
  <c r="AX70" i="10"/>
  <c r="AY6" i="10"/>
  <c r="AY28" i="10"/>
  <c r="AY63" i="10"/>
  <c r="AY62" i="10"/>
  <c r="AY61" i="10"/>
  <c r="AY67" i="10"/>
  <c r="AY66" i="10"/>
  <c r="AY70" i="10"/>
  <c r="AZ6" i="10"/>
  <c r="AZ28" i="10"/>
  <c r="AZ63" i="10"/>
  <c r="AZ62" i="10"/>
  <c r="AZ61" i="10"/>
  <c r="AZ67" i="10"/>
  <c r="AZ66" i="10"/>
  <c r="AZ70" i="10"/>
  <c r="BA6" i="10"/>
  <c r="BA28" i="10"/>
  <c r="BA63" i="10"/>
  <c r="BA62" i="10"/>
  <c r="BA61" i="10"/>
  <c r="BA67" i="10"/>
  <c r="BA66" i="10"/>
  <c r="BA70" i="10"/>
  <c r="BB6" i="10"/>
  <c r="BB28" i="10"/>
  <c r="BB63" i="10"/>
  <c r="BB62" i="10"/>
  <c r="BB61" i="10"/>
  <c r="BB67" i="10"/>
  <c r="BB66" i="10"/>
  <c r="BB70" i="10"/>
  <c r="BC6" i="10"/>
  <c r="BC28" i="10"/>
  <c r="BC63" i="10"/>
  <c r="BC62" i="10"/>
  <c r="BC61" i="10"/>
  <c r="BC67" i="10"/>
  <c r="BC66" i="10"/>
  <c r="BC70" i="10"/>
  <c r="BD6" i="10"/>
  <c r="BD28" i="10"/>
  <c r="BD63" i="10"/>
  <c r="BD62" i="10"/>
  <c r="BD61" i="10"/>
  <c r="BD67" i="10"/>
  <c r="BD66" i="10"/>
  <c r="BD70" i="10"/>
  <c r="BE6" i="10"/>
  <c r="BE28" i="10"/>
  <c r="BE63" i="10"/>
  <c r="BE62" i="10"/>
  <c r="BE61" i="10"/>
  <c r="BE67" i="10"/>
  <c r="BE66" i="10"/>
  <c r="BE70" i="10"/>
  <c r="BF6" i="10"/>
  <c r="BF28" i="10"/>
  <c r="BF63" i="10"/>
  <c r="BF62" i="10"/>
  <c r="BF61" i="10"/>
  <c r="BF67" i="10"/>
  <c r="BF66" i="10"/>
  <c r="BF70" i="10"/>
  <c r="BG6" i="10"/>
  <c r="BG28" i="10"/>
  <c r="BG63" i="10"/>
  <c r="BG62" i="10"/>
  <c r="BG61" i="10"/>
  <c r="BG67" i="10"/>
  <c r="BG66" i="10"/>
  <c r="BG70" i="10"/>
  <c r="BH6" i="10"/>
  <c r="BH28" i="10"/>
  <c r="BH63" i="10"/>
  <c r="BH62" i="10"/>
  <c r="BH61" i="10"/>
  <c r="BH67" i="10"/>
  <c r="BH66" i="10"/>
  <c r="BH70" i="10"/>
  <c r="BI6" i="10"/>
  <c r="BI28" i="10"/>
  <c r="BI63" i="10"/>
  <c r="BI62" i="10"/>
  <c r="BI61" i="10"/>
  <c r="BI67" i="10"/>
  <c r="BI66" i="10"/>
  <c r="BI70" i="10"/>
  <c r="BJ6" i="10"/>
  <c r="BJ28" i="10"/>
  <c r="BJ63" i="10"/>
  <c r="BJ62" i="10"/>
  <c r="BJ61" i="10"/>
  <c r="BJ67" i="10"/>
  <c r="BJ66" i="10"/>
  <c r="BJ70" i="10"/>
  <c r="AK59" i="10"/>
  <c r="AK67" i="10"/>
  <c r="AK66" i="10"/>
  <c r="AK62" i="10"/>
  <c r="AK6" i="10"/>
  <c r="AK28" i="10"/>
  <c r="AK63" i="10"/>
  <c r="AK61" i="10"/>
  <c r="AK70" i="10"/>
  <c r="AK72" i="10"/>
  <c r="AM97" i="10"/>
  <c r="AL7" i="10"/>
  <c r="AL29" i="10"/>
  <c r="AL83" i="10"/>
  <c r="AL84" i="10"/>
  <c r="AL82" i="10"/>
  <c r="AL78" i="10"/>
  <c r="AL87" i="10"/>
  <c r="AM7" i="10"/>
  <c r="AM29" i="10"/>
  <c r="AM83" i="10"/>
  <c r="AM84" i="10"/>
  <c r="AM82" i="10"/>
  <c r="AM78" i="10"/>
  <c r="AM87" i="10"/>
  <c r="AN7" i="10"/>
  <c r="AN29" i="10"/>
  <c r="AN83" i="10"/>
  <c r="AN84" i="10"/>
  <c r="AN82" i="10"/>
  <c r="AN78" i="10"/>
  <c r="AN87" i="10"/>
  <c r="AO7" i="10"/>
  <c r="AO29" i="10"/>
  <c r="AO83" i="10"/>
  <c r="AO84" i="10"/>
  <c r="AO82" i="10"/>
  <c r="AO78" i="10"/>
  <c r="AO87" i="10"/>
  <c r="AP7" i="10"/>
  <c r="AP29" i="10"/>
  <c r="AP83" i="10"/>
  <c r="AP84" i="10"/>
  <c r="AP82" i="10"/>
  <c r="AP78" i="10"/>
  <c r="AP87" i="10"/>
  <c r="AQ7" i="10"/>
  <c r="AQ29" i="10"/>
  <c r="AQ83" i="10"/>
  <c r="AQ84" i="10"/>
  <c r="AQ82" i="10"/>
  <c r="AQ78" i="10"/>
  <c r="AQ87" i="10"/>
  <c r="AR7" i="10"/>
  <c r="AR29" i="10"/>
  <c r="AR83" i="10"/>
  <c r="AR84" i="10"/>
  <c r="AR82" i="10"/>
  <c r="AR78" i="10"/>
  <c r="AR87" i="10"/>
  <c r="AS7" i="10"/>
  <c r="AS29" i="10"/>
  <c r="AS83" i="10"/>
  <c r="AS84" i="10"/>
  <c r="AS82" i="10"/>
  <c r="AS78" i="10"/>
  <c r="AS87" i="10"/>
  <c r="AT7" i="10"/>
  <c r="AT29" i="10"/>
  <c r="AT83" i="10"/>
  <c r="AT84" i="10"/>
  <c r="AT82" i="10"/>
  <c r="AT78" i="10"/>
  <c r="AT87" i="10"/>
  <c r="AU7" i="10"/>
  <c r="AU29" i="10"/>
  <c r="AU83" i="10"/>
  <c r="AU84" i="10"/>
  <c r="AU82" i="10"/>
  <c r="AU78" i="10"/>
  <c r="AU87" i="10"/>
  <c r="AV7" i="10"/>
  <c r="AV29" i="10"/>
  <c r="AV83" i="10"/>
  <c r="AV84" i="10"/>
  <c r="AV82" i="10"/>
  <c r="AV78" i="10"/>
  <c r="AV87" i="10"/>
  <c r="AW7" i="10"/>
  <c r="AW29" i="10"/>
  <c r="AW83" i="10"/>
  <c r="AW84" i="10"/>
  <c r="AW82" i="10"/>
  <c r="AW78" i="10"/>
  <c r="AW87" i="10"/>
  <c r="AX7" i="10"/>
  <c r="AX29" i="10"/>
  <c r="AX83" i="10"/>
  <c r="AX84" i="10"/>
  <c r="AX82" i="10"/>
  <c r="AX78" i="10"/>
  <c r="AX87" i="10"/>
  <c r="AY7" i="10"/>
  <c r="AY29" i="10"/>
  <c r="AY83" i="10"/>
  <c r="AY84" i="10"/>
  <c r="AY82" i="10"/>
  <c r="AY78" i="10"/>
  <c r="AY87" i="10"/>
  <c r="AZ7" i="10"/>
  <c r="AZ29" i="10"/>
  <c r="AZ83" i="10"/>
  <c r="AZ84" i="10"/>
  <c r="AZ82" i="10"/>
  <c r="AZ78" i="10"/>
  <c r="AZ87" i="10"/>
  <c r="BA7" i="10"/>
  <c r="BA29" i="10"/>
  <c r="BA83" i="10"/>
  <c r="BA84" i="10"/>
  <c r="BA82" i="10"/>
  <c r="BA78" i="10"/>
  <c r="BA87" i="10"/>
  <c r="BB7" i="10"/>
  <c r="BB29" i="10"/>
  <c r="BB83" i="10"/>
  <c r="BB84" i="10"/>
  <c r="BB82" i="10"/>
  <c r="BB78" i="10"/>
  <c r="BB87" i="10"/>
  <c r="BC7" i="10"/>
  <c r="BC29" i="10"/>
  <c r="BC83" i="10"/>
  <c r="BC84" i="10"/>
  <c r="BC82" i="10"/>
  <c r="BC78" i="10"/>
  <c r="BC87" i="10"/>
  <c r="BD7" i="10"/>
  <c r="BD29" i="10"/>
  <c r="BD83" i="10"/>
  <c r="BD84" i="10"/>
  <c r="BD82" i="10"/>
  <c r="BD78" i="10"/>
  <c r="BD87" i="10"/>
  <c r="BE7" i="10"/>
  <c r="BE29" i="10"/>
  <c r="BE83" i="10"/>
  <c r="BE84" i="10"/>
  <c r="BE82" i="10"/>
  <c r="BE78" i="10"/>
  <c r="BE87" i="10"/>
  <c r="BF7" i="10"/>
  <c r="BF29" i="10"/>
  <c r="BF83" i="10"/>
  <c r="BF84" i="10"/>
  <c r="BF82" i="10"/>
  <c r="BF78" i="10"/>
  <c r="BF87" i="10"/>
  <c r="BG7" i="10"/>
  <c r="BG29" i="10"/>
  <c r="BG83" i="10"/>
  <c r="BG84" i="10"/>
  <c r="BG82" i="10"/>
  <c r="BG78" i="10"/>
  <c r="BG87" i="10"/>
  <c r="BH7" i="10"/>
  <c r="BH29" i="10"/>
  <c r="BH83" i="10"/>
  <c r="BH84" i="10"/>
  <c r="BH82" i="10"/>
  <c r="BH78" i="10"/>
  <c r="BH87" i="10"/>
  <c r="BI7" i="10"/>
  <c r="BI29" i="10"/>
  <c r="BI83" i="10"/>
  <c r="BI84" i="10"/>
  <c r="BI82" i="10"/>
  <c r="BI78" i="10"/>
  <c r="BI87" i="10"/>
  <c r="BJ7" i="10"/>
  <c r="BJ29" i="10"/>
  <c r="BJ83" i="10"/>
  <c r="BJ84" i="10"/>
  <c r="BJ82" i="10"/>
  <c r="BJ78" i="10"/>
  <c r="BJ87" i="10"/>
  <c r="AK7" i="10"/>
  <c r="AK29" i="10"/>
  <c r="AK83" i="10"/>
  <c r="AK84" i="10"/>
  <c r="AK82" i="10"/>
  <c r="AK78" i="10"/>
  <c r="AK87" i="10"/>
  <c r="AK76" i="10"/>
  <c r="AK89" i="10"/>
  <c r="AN97" i="10"/>
  <c r="AL26" i="10"/>
  <c r="AL32" i="10"/>
  <c r="AL36" i="10"/>
  <c r="AM26" i="10"/>
  <c r="AM32" i="10"/>
  <c r="AM36" i="10"/>
  <c r="AN26" i="10"/>
  <c r="AN32" i="10"/>
  <c r="AN36" i="10"/>
  <c r="AO26" i="10"/>
  <c r="AO32" i="10"/>
  <c r="AO36" i="10"/>
  <c r="AP26" i="10"/>
  <c r="AP32" i="10"/>
  <c r="AP36" i="10"/>
  <c r="AQ26" i="10"/>
  <c r="AQ32" i="10"/>
  <c r="AQ36" i="10"/>
  <c r="AR26" i="10"/>
  <c r="AR32" i="10"/>
  <c r="AR36" i="10"/>
  <c r="AS26" i="10"/>
  <c r="AS32" i="10"/>
  <c r="AS36" i="10"/>
  <c r="AT26" i="10"/>
  <c r="AT32" i="10"/>
  <c r="AT36" i="10"/>
  <c r="AU26" i="10"/>
  <c r="AU32" i="10"/>
  <c r="AU36" i="10"/>
  <c r="AV26" i="10"/>
  <c r="AV32" i="10"/>
  <c r="AV36" i="10"/>
  <c r="AW26" i="10"/>
  <c r="AW32" i="10"/>
  <c r="AW36" i="10"/>
  <c r="AX26" i="10"/>
  <c r="AX32" i="10"/>
  <c r="AX36" i="10"/>
  <c r="AY26" i="10"/>
  <c r="AY32" i="10"/>
  <c r="AY36" i="10"/>
  <c r="AZ26" i="10"/>
  <c r="AZ32" i="10"/>
  <c r="AZ36" i="10"/>
  <c r="BA26" i="10"/>
  <c r="BA32" i="10"/>
  <c r="BA36" i="10"/>
  <c r="BB26" i="10"/>
  <c r="BB32" i="10"/>
  <c r="BB36" i="10"/>
  <c r="BC26" i="10"/>
  <c r="BC32" i="10"/>
  <c r="BC36" i="10"/>
  <c r="BD26" i="10"/>
  <c r="BD32" i="10"/>
  <c r="BD36" i="10"/>
  <c r="BE26" i="10"/>
  <c r="BE32" i="10"/>
  <c r="BE36" i="10"/>
  <c r="BF26" i="10"/>
  <c r="BF32" i="10"/>
  <c r="BF36" i="10"/>
  <c r="BG26" i="10"/>
  <c r="BG32" i="10"/>
  <c r="BG36" i="10"/>
  <c r="BH26" i="10"/>
  <c r="BH32" i="10"/>
  <c r="BH36" i="10"/>
  <c r="BI26" i="10"/>
  <c r="BI32" i="10"/>
  <c r="BI36" i="10"/>
  <c r="BJ26" i="10"/>
  <c r="BJ32" i="10"/>
  <c r="BJ36" i="10"/>
  <c r="AK26" i="10"/>
  <c r="AK32" i="10"/>
  <c r="AK36" i="10"/>
  <c r="AK24" i="10"/>
  <c r="AK38" i="10"/>
  <c r="AK97" i="10"/>
  <c r="H90" i="7"/>
  <c r="AN202" i="3"/>
  <c r="AN184" i="3"/>
  <c r="AN199" i="3"/>
  <c r="AN198" i="3"/>
  <c r="AN201" i="3"/>
  <c r="AN61" i="3"/>
  <c r="AN62" i="3"/>
  <c r="AN204" i="3"/>
  <c r="AN203" i="3"/>
  <c r="I90" i="7"/>
  <c r="AO184" i="3"/>
  <c r="AO199" i="3"/>
  <c r="AO198" i="3"/>
  <c r="AO202" i="3"/>
  <c r="AO201" i="3"/>
  <c r="AO61" i="3"/>
  <c r="AO62" i="3"/>
  <c r="AO204" i="3"/>
  <c r="AO203" i="3"/>
  <c r="J90" i="7"/>
  <c r="AP184" i="3"/>
  <c r="AP199" i="3"/>
  <c r="AP198" i="3"/>
  <c r="AP202" i="3"/>
  <c r="AP201" i="3"/>
  <c r="AP61" i="3"/>
  <c r="AP62" i="3"/>
  <c r="AP204" i="3"/>
  <c r="AP203" i="3"/>
  <c r="K90" i="7"/>
  <c r="AQ184" i="3"/>
  <c r="AQ199" i="3"/>
  <c r="AQ198" i="3"/>
  <c r="AQ202" i="3"/>
  <c r="AQ201" i="3"/>
  <c r="AQ61" i="3"/>
  <c r="AQ62" i="3"/>
  <c r="AQ204" i="3"/>
  <c r="AQ203" i="3"/>
  <c r="L90" i="7"/>
  <c r="AR184" i="3"/>
  <c r="AR199" i="3"/>
  <c r="AR198" i="3"/>
  <c r="AR202" i="3"/>
  <c r="AR201" i="3"/>
  <c r="AR61" i="3"/>
  <c r="AR62" i="3"/>
  <c r="AR204" i="3"/>
  <c r="AR203" i="3"/>
  <c r="M90" i="7"/>
  <c r="AS184" i="3"/>
  <c r="AS199" i="3"/>
  <c r="AS198" i="3"/>
  <c r="AS202" i="3"/>
  <c r="AS201" i="3"/>
  <c r="AS61" i="3"/>
  <c r="AS62" i="3"/>
  <c r="AS204" i="3"/>
  <c r="AS203" i="3"/>
  <c r="N90" i="7"/>
  <c r="AT184" i="3"/>
  <c r="AT199" i="3"/>
  <c r="AT198" i="3"/>
  <c r="AT202" i="3"/>
  <c r="AT201" i="3"/>
  <c r="AT61" i="3"/>
  <c r="AT62" i="3"/>
  <c r="AT204" i="3"/>
  <c r="AT203" i="3"/>
  <c r="O90" i="7"/>
  <c r="AU184" i="3"/>
  <c r="AU199" i="3"/>
  <c r="AU198" i="3"/>
  <c r="AU202" i="3"/>
  <c r="AU201" i="3"/>
  <c r="AU61" i="3"/>
  <c r="AU62" i="3"/>
  <c r="AU204" i="3"/>
  <c r="AU203" i="3"/>
  <c r="P90" i="7"/>
  <c r="AV184" i="3"/>
  <c r="AV199" i="3"/>
  <c r="AV198" i="3"/>
  <c r="AV202" i="3"/>
  <c r="AV201" i="3"/>
  <c r="AV61" i="3"/>
  <c r="AV62" i="3"/>
  <c r="AV204" i="3"/>
  <c r="AV203" i="3"/>
  <c r="Q90" i="7"/>
  <c r="AW184" i="3"/>
  <c r="AW199" i="3"/>
  <c r="AW198" i="3"/>
  <c r="AW202" i="3"/>
  <c r="AW201" i="3"/>
  <c r="AW61" i="3"/>
  <c r="AW62" i="3"/>
  <c r="AW204" i="3"/>
  <c r="AW203" i="3"/>
  <c r="AX184" i="3"/>
  <c r="AX199" i="3"/>
  <c r="AX198" i="3"/>
  <c r="AX202" i="3"/>
  <c r="AX201" i="3"/>
  <c r="AX75" i="3"/>
  <c r="AX61" i="3"/>
  <c r="AX62" i="3"/>
  <c r="AX204" i="3"/>
  <c r="AX203" i="3"/>
  <c r="AX205" i="3"/>
  <c r="AY184" i="3"/>
  <c r="AY199" i="3"/>
  <c r="AY198" i="3"/>
  <c r="AY202" i="3"/>
  <c r="AY201" i="3"/>
  <c r="AY75" i="3"/>
  <c r="AY61" i="3"/>
  <c r="AY62" i="3"/>
  <c r="AY204" i="3"/>
  <c r="AY203" i="3"/>
  <c r="AY205" i="3"/>
  <c r="AZ184" i="3"/>
  <c r="AZ199" i="3"/>
  <c r="AZ198" i="3"/>
  <c r="AZ202" i="3"/>
  <c r="AZ201" i="3"/>
  <c r="AZ75" i="3"/>
  <c r="AZ61" i="3"/>
  <c r="AZ62" i="3"/>
  <c r="AZ204" i="3"/>
  <c r="AZ203" i="3"/>
  <c r="AZ205" i="3"/>
  <c r="BA184" i="3"/>
  <c r="BA199" i="3"/>
  <c r="BA198" i="3"/>
  <c r="BA202" i="3"/>
  <c r="BA201" i="3"/>
  <c r="BA75" i="3"/>
  <c r="BA61" i="3"/>
  <c r="BA62" i="3"/>
  <c r="BA204" i="3"/>
  <c r="BA203" i="3"/>
  <c r="BA205" i="3"/>
  <c r="BB184" i="3"/>
  <c r="BB199" i="3"/>
  <c r="BB198" i="3"/>
  <c r="BB202" i="3"/>
  <c r="BB201" i="3"/>
  <c r="BB75" i="3"/>
  <c r="BB61" i="3"/>
  <c r="BB62" i="3"/>
  <c r="BB204" i="3"/>
  <c r="BB203" i="3"/>
  <c r="BB205" i="3"/>
  <c r="BC184" i="3"/>
  <c r="BC199" i="3"/>
  <c r="BC198" i="3"/>
  <c r="BC202" i="3"/>
  <c r="BC201" i="3"/>
  <c r="BC75" i="3"/>
  <c r="BC61" i="3"/>
  <c r="BC62" i="3"/>
  <c r="BC204" i="3"/>
  <c r="BC203" i="3"/>
  <c r="BC205" i="3"/>
  <c r="BD184" i="3"/>
  <c r="BD199" i="3"/>
  <c r="BD198" i="3"/>
  <c r="BD202" i="3"/>
  <c r="BD201" i="3"/>
  <c r="BD75" i="3"/>
  <c r="BD61" i="3"/>
  <c r="BD62" i="3"/>
  <c r="BD204" i="3"/>
  <c r="BD203" i="3"/>
  <c r="BD205" i="3"/>
  <c r="BE184" i="3"/>
  <c r="BE199" i="3"/>
  <c r="BE198" i="3"/>
  <c r="BE202" i="3"/>
  <c r="BE201" i="3"/>
  <c r="BE75" i="3"/>
  <c r="BE61" i="3"/>
  <c r="BE62" i="3"/>
  <c r="BE204" i="3"/>
  <c r="BE203" i="3"/>
  <c r="BE205" i="3"/>
  <c r="BF184" i="3"/>
  <c r="BF199" i="3"/>
  <c r="BF198" i="3"/>
  <c r="BF202" i="3"/>
  <c r="BF201" i="3"/>
  <c r="BF75" i="3"/>
  <c r="BF61" i="3"/>
  <c r="BF62" i="3"/>
  <c r="BF204" i="3"/>
  <c r="BF203" i="3"/>
  <c r="BF205" i="3"/>
  <c r="BG184" i="3"/>
  <c r="BG199" i="3"/>
  <c r="BG198" i="3"/>
  <c r="BG202" i="3"/>
  <c r="BG201" i="3"/>
  <c r="BG75" i="3"/>
  <c r="BG61" i="3"/>
  <c r="BG62" i="3"/>
  <c r="BG204" i="3"/>
  <c r="BG203" i="3"/>
  <c r="BG205" i="3"/>
  <c r="BH184" i="3"/>
  <c r="BH199" i="3"/>
  <c r="BH198" i="3"/>
  <c r="BH202" i="3"/>
  <c r="BH201" i="3"/>
  <c r="BH75" i="3"/>
  <c r="BH61" i="3"/>
  <c r="BH62" i="3"/>
  <c r="BH204" i="3"/>
  <c r="BH203" i="3"/>
  <c r="BH205" i="3"/>
  <c r="BI184" i="3"/>
  <c r="BI199" i="3"/>
  <c r="BI198" i="3"/>
  <c r="BI202" i="3"/>
  <c r="BI201" i="3"/>
  <c r="BI75" i="3"/>
  <c r="BI61" i="3"/>
  <c r="BI62" i="3"/>
  <c r="BI204" i="3"/>
  <c r="BI203" i="3"/>
  <c r="BI205" i="3"/>
  <c r="BJ184" i="3"/>
  <c r="BJ199" i="3"/>
  <c r="BJ198" i="3"/>
  <c r="BJ202" i="3"/>
  <c r="BJ201" i="3"/>
  <c r="BJ75" i="3"/>
  <c r="BJ61" i="3"/>
  <c r="BJ62" i="3"/>
  <c r="BJ204" i="3"/>
  <c r="BJ203" i="3"/>
  <c r="BJ205" i="3"/>
  <c r="BK184" i="3"/>
  <c r="BK199" i="3"/>
  <c r="BK198" i="3"/>
  <c r="BK202" i="3"/>
  <c r="BK201" i="3"/>
  <c r="BK75" i="3"/>
  <c r="BK61" i="3"/>
  <c r="BK62" i="3"/>
  <c r="BK204" i="3"/>
  <c r="BK203" i="3"/>
  <c r="BK205" i="3"/>
  <c r="BL184" i="3"/>
  <c r="BL199" i="3"/>
  <c r="BL198" i="3"/>
  <c r="BL202" i="3"/>
  <c r="BL201" i="3"/>
  <c r="BL75" i="3"/>
  <c r="BL61" i="3"/>
  <c r="BL62" i="3"/>
  <c r="BL204" i="3"/>
  <c r="BL203" i="3"/>
  <c r="BL205" i="3"/>
  <c r="AM202" i="3"/>
  <c r="AM201" i="3"/>
  <c r="AM203" i="3"/>
  <c r="AM205" i="3"/>
  <c r="AX206" i="3"/>
  <c r="AY206" i="3"/>
  <c r="AZ206" i="3"/>
  <c r="BA206" i="3"/>
  <c r="BB206" i="3"/>
  <c r="BC206" i="3"/>
  <c r="BD206" i="3"/>
  <c r="BE206" i="3"/>
  <c r="BF206" i="3"/>
  <c r="BG206" i="3"/>
  <c r="BH206" i="3"/>
  <c r="BI206" i="3"/>
  <c r="BJ206" i="3"/>
  <c r="BK206" i="3"/>
  <c r="BL206" i="3"/>
  <c r="AM204" i="3"/>
  <c r="AM206" i="3"/>
  <c r="H44" i="10"/>
  <c r="I44" i="10"/>
  <c r="J44" i="10"/>
  <c r="K44" i="10"/>
  <c r="L44" i="10"/>
  <c r="M44" i="10"/>
  <c r="N44" i="10"/>
  <c r="O44" i="10"/>
  <c r="P44" i="10"/>
  <c r="Q44" i="10"/>
  <c r="R44" i="10"/>
  <c r="S44" i="10"/>
  <c r="T44" i="10"/>
  <c r="U44" i="10"/>
  <c r="V44" i="10"/>
  <c r="W44" i="10"/>
  <c r="X44" i="10"/>
  <c r="Y44" i="10"/>
  <c r="Z12" i="10"/>
  <c r="Z13" i="10"/>
  <c r="Z14" i="10"/>
  <c r="Z44" i="10"/>
  <c r="AA12" i="10"/>
  <c r="AA13" i="10"/>
  <c r="AA14" i="10"/>
  <c r="AA44" i="10"/>
  <c r="AB12" i="10"/>
  <c r="AB13" i="10"/>
  <c r="AB14" i="10"/>
  <c r="AB44" i="10"/>
  <c r="AC12" i="10"/>
  <c r="AC13" i="10"/>
  <c r="AC14" i="10"/>
  <c r="AC44" i="10"/>
  <c r="AD12" i="10"/>
  <c r="AD13" i="10"/>
  <c r="AD14" i="10"/>
  <c r="AD44" i="10"/>
  <c r="AF76" i="3"/>
  <c r="AE15" i="10"/>
  <c r="AE12" i="10"/>
  <c r="AE13" i="10"/>
  <c r="AE14" i="10"/>
  <c r="AE17" i="10"/>
  <c r="AE18" i="10"/>
  <c r="AE19" i="10"/>
  <c r="AE8" i="10"/>
  <c r="AE50" i="10"/>
  <c r="AE49" i="10"/>
  <c r="AE44" i="10"/>
  <c r="AE53" i="10"/>
  <c r="G12" i="10"/>
  <c r="G13" i="10"/>
  <c r="G14" i="10"/>
  <c r="H76" i="3"/>
  <c r="G15" i="10"/>
  <c r="G17" i="10"/>
  <c r="G18" i="10"/>
  <c r="G19" i="10"/>
  <c r="G8" i="10"/>
  <c r="G50" i="10"/>
  <c r="G49" i="10"/>
  <c r="G44" i="10"/>
  <c r="G53" i="10"/>
  <c r="H62" i="10"/>
  <c r="H6" i="10"/>
  <c r="H63" i="10"/>
  <c r="H61" i="10"/>
  <c r="I62" i="10"/>
  <c r="I6" i="10"/>
  <c r="I63" i="10"/>
  <c r="I61" i="10"/>
  <c r="J62" i="10"/>
  <c r="J6" i="10"/>
  <c r="J63" i="10"/>
  <c r="J61" i="10"/>
  <c r="K62" i="10"/>
  <c r="K6" i="10"/>
  <c r="K63" i="10"/>
  <c r="K61" i="10"/>
  <c r="L62" i="10"/>
  <c r="L6" i="10"/>
  <c r="L63" i="10"/>
  <c r="L61" i="10"/>
  <c r="M62" i="10"/>
  <c r="M6" i="10"/>
  <c r="M63" i="10"/>
  <c r="M61" i="10"/>
  <c r="N62" i="10"/>
  <c r="N6" i="10"/>
  <c r="N63" i="10"/>
  <c r="N61" i="10"/>
  <c r="O62" i="10"/>
  <c r="O6" i="10"/>
  <c r="O63" i="10"/>
  <c r="O61" i="10"/>
  <c r="P62" i="10"/>
  <c r="P6" i="10"/>
  <c r="P63" i="10"/>
  <c r="P61" i="10"/>
  <c r="Q62" i="10"/>
  <c r="Q6" i="10"/>
  <c r="Q63" i="10"/>
  <c r="Q61" i="10"/>
  <c r="R62" i="10"/>
  <c r="R6" i="10"/>
  <c r="R63" i="10"/>
  <c r="R61" i="10"/>
  <c r="S62" i="10"/>
  <c r="S6" i="10"/>
  <c r="S63" i="10"/>
  <c r="S61" i="10"/>
  <c r="T62" i="10"/>
  <c r="T6" i="10"/>
  <c r="T63" i="10"/>
  <c r="T61" i="10"/>
  <c r="U62" i="10"/>
  <c r="U6" i="10"/>
  <c r="U63" i="10"/>
  <c r="U61" i="10"/>
  <c r="V62" i="10"/>
  <c r="V6" i="10"/>
  <c r="V63" i="10"/>
  <c r="V61" i="10"/>
  <c r="W62" i="10"/>
  <c r="W6" i="10"/>
  <c r="W63" i="10"/>
  <c r="W61" i="10"/>
  <c r="X62" i="10"/>
  <c r="X6" i="10"/>
  <c r="X63" i="10"/>
  <c r="X61" i="10"/>
  <c r="Y62" i="10"/>
  <c r="Y6" i="10"/>
  <c r="Y63" i="10"/>
  <c r="Y61" i="10"/>
  <c r="Z62" i="10"/>
  <c r="Z6" i="10"/>
  <c r="Z63" i="10"/>
  <c r="Z61" i="10"/>
  <c r="AA62" i="10"/>
  <c r="AA6" i="10"/>
  <c r="AA63" i="10"/>
  <c r="AA61" i="10"/>
  <c r="AB62" i="10"/>
  <c r="AB6" i="10"/>
  <c r="AB63" i="10"/>
  <c r="AB61" i="10"/>
  <c r="AC62" i="10"/>
  <c r="AC6" i="10"/>
  <c r="AC63" i="10"/>
  <c r="AC61" i="10"/>
  <c r="AD62" i="10"/>
  <c r="AD6" i="10"/>
  <c r="AD63" i="10"/>
  <c r="AD61" i="10"/>
  <c r="AE67" i="10"/>
  <c r="AE66" i="10"/>
  <c r="AE62" i="10"/>
  <c r="AE6" i="10"/>
  <c r="AE63" i="10"/>
  <c r="AE61" i="10"/>
  <c r="AE70" i="10"/>
  <c r="G67" i="10"/>
  <c r="G66" i="10"/>
  <c r="G62" i="10"/>
  <c r="G6" i="10"/>
  <c r="G63" i="10"/>
  <c r="G61" i="10"/>
  <c r="G70" i="10"/>
  <c r="G83" i="10"/>
  <c r="G28" i="10"/>
  <c r="G84" i="10"/>
  <c r="G82" i="10"/>
  <c r="G79" i="10"/>
  <c r="G78" i="10"/>
  <c r="G87" i="10"/>
  <c r="H83" i="10"/>
  <c r="H28" i="10"/>
  <c r="H84" i="10"/>
  <c r="H82" i="10"/>
  <c r="H79" i="10"/>
  <c r="H78" i="10"/>
  <c r="H87" i="10"/>
  <c r="I83" i="10"/>
  <c r="I28" i="10"/>
  <c r="I84" i="10"/>
  <c r="I82" i="10"/>
  <c r="I79" i="10"/>
  <c r="I78" i="10"/>
  <c r="I87" i="10"/>
  <c r="J83" i="10"/>
  <c r="J28" i="10"/>
  <c r="J84" i="10"/>
  <c r="J82" i="10"/>
  <c r="J79" i="10"/>
  <c r="J78" i="10"/>
  <c r="J87" i="10"/>
  <c r="K83" i="10"/>
  <c r="K28" i="10"/>
  <c r="K84" i="10"/>
  <c r="K82" i="10"/>
  <c r="K79" i="10"/>
  <c r="K78" i="10"/>
  <c r="K87" i="10"/>
  <c r="L83" i="10"/>
  <c r="L28" i="10"/>
  <c r="L84" i="10"/>
  <c r="L82" i="10"/>
  <c r="L79" i="10"/>
  <c r="L78" i="10"/>
  <c r="L87" i="10"/>
  <c r="M83" i="10"/>
  <c r="M28" i="10"/>
  <c r="M84" i="10"/>
  <c r="M82" i="10"/>
  <c r="M79" i="10"/>
  <c r="M78" i="10"/>
  <c r="M87" i="10"/>
  <c r="N83" i="10"/>
  <c r="N28" i="10"/>
  <c r="N84" i="10"/>
  <c r="N82" i="10"/>
  <c r="N79" i="10"/>
  <c r="N78" i="10"/>
  <c r="N87" i="10"/>
  <c r="O83" i="10"/>
  <c r="O28" i="10"/>
  <c r="O84" i="10"/>
  <c r="O82" i="10"/>
  <c r="O79" i="10"/>
  <c r="O78" i="10"/>
  <c r="O87" i="10"/>
  <c r="P83" i="10"/>
  <c r="P28" i="10"/>
  <c r="P84" i="10"/>
  <c r="P82" i="10"/>
  <c r="P79" i="10"/>
  <c r="P78" i="10"/>
  <c r="P87" i="10"/>
  <c r="Q83" i="10"/>
  <c r="Q28" i="10"/>
  <c r="Q84" i="10"/>
  <c r="Q82" i="10"/>
  <c r="Q79" i="10"/>
  <c r="Q78" i="10"/>
  <c r="Q87" i="10"/>
  <c r="R83" i="10"/>
  <c r="R28" i="10"/>
  <c r="R84" i="10"/>
  <c r="R82" i="10"/>
  <c r="R79" i="10"/>
  <c r="R78" i="10"/>
  <c r="R87" i="10"/>
  <c r="S83" i="10"/>
  <c r="S28" i="10"/>
  <c r="S84" i="10"/>
  <c r="S82" i="10"/>
  <c r="S79" i="10"/>
  <c r="S78" i="10"/>
  <c r="S87" i="10"/>
  <c r="T83" i="10"/>
  <c r="T28" i="10"/>
  <c r="T84" i="10"/>
  <c r="T82" i="10"/>
  <c r="T79" i="10"/>
  <c r="T78" i="10"/>
  <c r="T87" i="10"/>
  <c r="U83" i="10"/>
  <c r="U28" i="10"/>
  <c r="U84" i="10"/>
  <c r="U82" i="10"/>
  <c r="U79" i="10"/>
  <c r="U78" i="10"/>
  <c r="U87" i="10"/>
  <c r="V83" i="10"/>
  <c r="V28" i="10"/>
  <c r="V84" i="10"/>
  <c r="V82" i="10"/>
  <c r="V79" i="10"/>
  <c r="V78" i="10"/>
  <c r="V87" i="10"/>
  <c r="W83" i="10"/>
  <c r="W28" i="10"/>
  <c r="W84" i="10"/>
  <c r="W82" i="10"/>
  <c r="W79" i="10"/>
  <c r="W78" i="10"/>
  <c r="W87" i="10"/>
  <c r="X83" i="10"/>
  <c r="X28" i="10"/>
  <c r="X84" i="10"/>
  <c r="X82" i="10"/>
  <c r="X79" i="10"/>
  <c r="X78" i="10"/>
  <c r="X87" i="10"/>
  <c r="Y83" i="10"/>
  <c r="Y28" i="10"/>
  <c r="Y84" i="10"/>
  <c r="Y82" i="10"/>
  <c r="Y79" i="10"/>
  <c r="Y78" i="10"/>
  <c r="Y87" i="10"/>
  <c r="Z83" i="10"/>
  <c r="Z28" i="10"/>
  <c r="Z84" i="10"/>
  <c r="Z82" i="10"/>
  <c r="Z79" i="10"/>
  <c r="Z78" i="10"/>
  <c r="Z87" i="10"/>
  <c r="AA83" i="10"/>
  <c r="AA28" i="10"/>
  <c r="AA84" i="10"/>
  <c r="AA82" i="10"/>
  <c r="AA79" i="10"/>
  <c r="AA78" i="10"/>
  <c r="AA87" i="10"/>
  <c r="AB83" i="10"/>
  <c r="AB28" i="10"/>
  <c r="AB84" i="10"/>
  <c r="AB82" i="10"/>
  <c r="AB79" i="10"/>
  <c r="AB78" i="10"/>
  <c r="AB87" i="10"/>
  <c r="AC83" i="10"/>
  <c r="AC28" i="10"/>
  <c r="AC84" i="10"/>
  <c r="AC82" i="10"/>
  <c r="AC79" i="10"/>
  <c r="AC78" i="10"/>
  <c r="AC87" i="10"/>
  <c r="AD83" i="10"/>
  <c r="AD28" i="10"/>
  <c r="AD84" i="10"/>
  <c r="AD82" i="10"/>
  <c r="AD79" i="10"/>
  <c r="AD78" i="10"/>
  <c r="AD87" i="10"/>
  <c r="AE83" i="10"/>
  <c r="AE28" i="10"/>
  <c r="AE84" i="10"/>
  <c r="AE82" i="10"/>
  <c r="AE79" i="10"/>
  <c r="AE78" i="10"/>
  <c r="AE87" i="10"/>
  <c r="F7" i="10"/>
  <c r="F29" i="10"/>
  <c r="F83" i="10"/>
  <c r="F6" i="10"/>
  <c r="F28" i="10"/>
  <c r="F84" i="10"/>
  <c r="F82" i="10"/>
  <c r="F79" i="10"/>
  <c r="F78" i="10"/>
  <c r="F87" i="10"/>
  <c r="F76" i="10"/>
  <c r="F89" i="10"/>
  <c r="I97" i="10"/>
  <c r="G27" i="10"/>
  <c r="G26" i="10"/>
  <c r="G33" i="10"/>
  <c r="G32" i="10"/>
  <c r="G36" i="10"/>
  <c r="H27" i="10"/>
  <c r="H26" i="10"/>
  <c r="I27" i="10"/>
  <c r="I26" i="10"/>
  <c r="J27" i="10"/>
  <c r="J26" i="10"/>
  <c r="K27" i="10"/>
  <c r="K26" i="10"/>
  <c r="L27" i="10"/>
  <c r="L26" i="10"/>
  <c r="M27" i="10"/>
  <c r="M26" i="10"/>
  <c r="N27" i="10"/>
  <c r="N26" i="10"/>
  <c r="O27" i="10"/>
  <c r="O26" i="10"/>
  <c r="P27" i="10"/>
  <c r="P26" i="10"/>
  <c r="Q27" i="10"/>
  <c r="Q26" i="10"/>
  <c r="R27" i="10"/>
  <c r="R26" i="10"/>
  <c r="S27" i="10"/>
  <c r="S26" i="10"/>
  <c r="T27" i="10"/>
  <c r="T26" i="10"/>
  <c r="U27" i="10"/>
  <c r="U26" i="10"/>
  <c r="V27" i="10"/>
  <c r="V26" i="10"/>
  <c r="W27" i="10"/>
  <c r="W26" i="10"/>
  <c r="X27" i="10"/>
  <c r="X26" i="10"/>
  <c r="Y27" i="10"/>
  <c r="Y26" i="10"/>
  <c r="Z27" i="10"/>
  <c r="Z26" i="10"/>
  <c r="AA27" i="10"/>
  <c r="AA26" i="10"/>
  <c r="AB27" i="10"/>
  <c r="AB26" i="10"/>
  <c r="AC27" i="10"/>
  <c r="AC26" i="10"/>
  <c r="AD27" i="10"/>
  <c r="AD26" i="10"/>
  <c r="AE27" i="10"/>
  <c r="AE26" i="10"/>
  <c r="AE33" i="10"/>
  <c r="AE32" i="10"/>
  <c r="AE36" i="10"/>
  <c r="F27" i="10"/>
  <c r="F26" i="10"/>
  <c r="F12" i="10"/>
  <c r="F13" i="10"/>
  <c r="F17" i="10"/>
  <c r="F14" i="10"/>
  <c r="F18" i="10"/>
  <c r="F15" i="10"/>
  <c r="F19" i="10"/>
  <c r="F8" i="10"/>
  <c r="F33" i="10"/>
  <c r="F32" i="10"/>
  <c r="F36" i="10"/>
  <c r="H206" i="3"/>
  <c r="H198" i="3"/>
  <c r="H207" i="3"/>
  <c r="I206" i="3"/>
  <c r="I198" i="3"/>
  <c r="I207" i="3"/>
  <c r="J206" i="3"/>
  <c r="J198" i="3"/>
  <c r="J207" i="3"/>
  <c r="K206" i="3"/>
  <c r="K198" i="3"/>
  <c r="K207" i="3"/>
  <c r="L206" i="3"/>
  <c r="L198" i="3"/>
  <c r="L207" i="3"/>
  <c r="M206" i="3"/>
  <c r="M198" i="3"/>
  <c r="M207" i="3"/>
  <c r="N206" i="3"/>
  <c r="N198" i="3"/>
  <c r="N207" i="3"/>
  <c r="O206" i="3"/>
  <c r="O198" i="3"/>
  <c r="O207" i="3"/>
  <c r="P206" i="3"/>
  <c r="P198" i="3"/>
  <c r="P207" i="3"/>
  <c r="Q206" i="3"/>
  <c r="Q198" i="3"/>
  <c r="Q207" i="3"/>
  <c r="R206" i="3"/>
  <c r="R198" i="3"/>
  <c r="R207" i="3"/>
  <c r="R209" i="3"/>
  <c r="S206" i="3"/>
  <c r="S198" i="3"/>
  <c r="S207" i="3"/>
  <c r="S209" i="3"/>
  <c r="T206" i="3"/>
  <c r="T198" i="3"/>
  <c r="T207" i="3"/>
  <c r="T209" i="3"/>
  <c r="U206" i="3"/>
  <c r="U198" i="3"/>
  <c r="U207" i="3"/>
  <c r="U209" i="3"/>
  <c r="V206" i="3"/>
  <c r="V198" i="3"/>
  <c r="V207" i="3"/>
  <c r="V209" i="3"/>
  <c r="W206" i="3"/>
  <c r="W198" i="3"/>
  <c r="W207" i="3"/>
  <c r="W209" i="3"/>
  <c r="X206" i="3"/>
  <c r="X198" i="3"/>
  <c r="X207" i="3"/>
  <c r="X209" i="3"/>
  <c r="Y206" i="3"/>
  <c r="Y198" i="3"/>
  <c r="Y207" i="3"/>
  <c r="Y209" i="3"/>
  <c r="Z206" i="3"/>
  <c r="Z198" i="3"/>
  <c r="Z207" i="3"/>
  <c r="Z209" i="3"/>
  <c r="AA206" i="3"/>
  <c r="AA198" i="3"/>
  <c r="AA207" i="3"/>
  <c r="AA209" i="3"/>
  <c r="AB206" i="3"/>
  <c r="AB198" i="3"/>
  <c r="AB207" i="3"/>
  <c r="AB209" i="3"/>
  <c r="AC206" i="3"/>
  <c r="AC198" i="3"/>
  <c r="AC207" i="3"/>
  <c r="AC209" i="3"/>
  <c r="AD206" i="3"/>
  <c r="AD198" i="3"/>
  <c r="AD207" i="3"/>
  <c r="AD209" i="3"/>
  <c r="AE206" i="3"/>
  <c r="AE198" i="3"/>
  <c r="AE207" i="3"/>
  <c r="AE209" i="3"/>
  <c r="AF206" i="3"/>
  <c r="AF198" i="3"/>
  <c r="AF207" i="3"/>
  <c r="AF209" i="3"/>
  <c r="G206" i="3"/>
  <c r="G198" i="3"/>
  <c r="G207" i="3"/>
  <c r="G209" i="3"/>
  <c r="G202" i="3"/>
  <c r="AN190" i="3"/>
  <c r="AN192" i="3"/>
  <c r="AO190" i="3"/>
  <c r="AO192" i="3"/>
  <c r="AP190" i="3"/>
  <c r="AP192" i="3"/>
  <c r="AQ190" i="3"/>
  <c r="AQ192" i="3"/>
  <c r="AR190" i="3"/>
  <c r="AR192" i="3"/>
  <c r="AS190" i="3"/>
  <c r="AS192" i="3"/>
  <c r="AT190" i="3"/>
  <c r="AT192" i="3"/>
  <c r="AU190" i="3"/>
  <c r="AU192" i="3"/>
  <c r="AV190" i="3"/>
  <c r="AV192" i="3"/>
  <c r="AW190" i="3"/>
  <c r="AW192" i="3"/>
  <c r="AX190" i="3"/>
  <c r="AX192" i="3"/>
  <c r="AX194" i="3"/>
  <c r="AY190" i="3"/>
  <c r="AY192" i="3"/>
  <c r="AY194" i="3"/>
  <c r="AZ190" i="3"/>
  <c r="AZ192" i="3"/>
  <c r="AZ194" i="3"/>
  <c r="BA190" i="3"/>
  <c r="BA192" i="3"/>
  <c r="BA194" i="3"/>
  <c r="BB190" i="3"/>
  <c r="BB192" i="3"/>
  <c r="BB194" i="3"/>
  <c r="BC190" i="3"/>
  <c r="BC192" i="3"/>
  <c r="BC194" i="3"/>
  <c r="BD190" i="3"/>
  <c r="BD192" i="3"/>
  <c r="BD194" i="3"/>
  <c r="BE190" i="3"/>
  <c r="BE192" i="3"/>
  <c r="BE194" i="3"/>
  <c r="BF190" i="3"/>
  <c r="BF192" i="3"/>
  <c r="BF194" i="3"/>
  <c r="BG190" i="3"/>
  <c r="BG192" i="3"/>
  <c r="BG194" i="3"/>
  <c r="BH190" i="3"/>
  <c r="BH192" i="3"/>
  <c r="BH194" i="3"/>
  <c r="BI190" i="3"/>
  <c r="BI192" i="3"/>
  <c r="BI194" i="3"/>
  <c r="BJ190" i="3"/>
  <c r="BJ192" i="3"/>
  <c r="BJ194" i="3"/>
  <c r="BK190" i="3"/>
  <c r="BK192" i="3"/>
  <c r="BK194" i="3"/>
  <c r="BL190" i="3"/>
  <c r="BL192" i="3"/>
  <c r="BL194" i="3"/>
  <c r="AM194" i="3"/>
  <c r="H190" i="3"/>
  <c r="I190" i="3"/>
  <c r="J190" i="3"/>
  <c r="K190" i="3"/>
  <c r="L190" i="3"/>
  <c r="M190" i="3"/>
  <c r="N190" i="3"/>
  <c r="O190" i="3"/>
  <c r="P190" i="3"/>
  <c r="Q190" i="3"/>
  <c r="R190" i="3"/>
  <c r="R192" i="3"/>
  <c r="S190" i="3"/>
  <c r="S192" i="3"/>
  <c r="T190" i="3"/>
  <c r="T192" i="3"/>
  <c r="U190" i="3"/>
  <c r="U192" i="3"/>
  <c r="V190" i="3"/>
  <c r="V192" i="3"/>
  <c r="W190" i="3"/>
  <c r="W192" i="3"/>
  <c r="X190" i="3"/>
  <c r="X192" i="3"/>
  <c r="Y190" i="3"/>
  <c r="Y192" i="3"/>
  <c r="Z190" i="3"/>
  <c r="Z192" i="3"/>
  <c r="AA190" i="3"/>
  <c r="AA192" i="3"/>
  <c r="AB190" i="3"/>
  <c r="AB192" i="3"/>
  <c r="AC190" i="3"/>
  <c r="AC192" i="3"/>
  <c r="AD190" i="3"/>
  <c r="AD192" i="3"/>
  <c r="AE190" i="3"/>
  <c r="AE192" i="3"/>
  <c r="AF190" i="3"/>
  <c r="AF192" i="3"/>
  <c r="G190" i="3"/>
  <c r="G192" i="3"/>
  <c r="H64" i="7"/>
  <c r="H20" i="7"/>
  <c r="H21" i="7"/>
  <c r="H11" i="7"/>
  <c r="H12" i="7"/>
  <c r="H30" i="7"/>
  <c r="H35" i="7"/>
  <c r="H63" i="7"/>
  <c r="H62" i="7"/>
  <c r="I64" i="7"/>
  <c r="I20" i="7"/>
  <c r="I21" i="7"/>
  <c r="I11" i="7"/>
  <c r="I12" i="7"/>
  <c r="I30" i="7"/>
  <c r="I35" i="7"/>
  <c r="I63" i="7"/>
  <c r="I62" i="7"/>
  <c r="J64" i="7"/>
  <c r="J20" i="7"/>
  <c r="J21" i="7"/>
  <c r="J11" i="7"/>
  <c r="J12" i="7"/>
  <c r="J30" i="7"/>
  <c r="J35" i="7"/>
  <c r="J63" i="7"/>
  <c r="J62" i="7"/>
  <c r="K64" i="7"/>
  <c r="K20" i="7"/>
  <c r="K21" i="7"/>
  <c r="K11" i="7"/>
  <c r="K12" i="7"/>
  <c r="K30" i="7"/>
  <c r="K35" i="7"/>
  <c r="K63" i="7"/>
  <c r="K62" i="7"/>
  <c r="L64" i="7"/>
  <c r="L20" i="7"/>
  <c r="L21" i="7"/>
  <c r="L11" i="7"/>
  <c r="L12" i="7"/>
  <c r="L30" i="7"/>
  <c r="L35" i="7"/>
  <c r="L63" i="7"/>
  <c r="L62" i="7"/>
  <c r="M64" i="7"/>
  <c r="M20" i="7"/>
  <c r="M21" i="7"/>
  <c r="M11" i="7"/>
  <c r="M12" i="7"/>
  <c r="M30" i="7"/>
  <c r="M35" i="7"/>
  <c r="M63" i="7"/>
  <c r="M62" i="7"/>
  <c r="N64" i="7"/>
  <c r="N20" i="7"/>
  <c r="N21" i="7"/>
  <c r="N11" i="7"/>
  <c r="N12" i="7"/>
  <c r="N30" i="7"/>
  <c r="N35" i="7"/>
  <c r="N63" i="7"/>
  <c r="N62" i="7"/>
  <c r="O64" i="7"/>
  <c r="O20" i="7"/>
  <c r="O21" i="7"/>
  <c r="O11" i="7"/>
  <c r="O12" i="7"/>
  <c r="O30" i="7"/>
  <c r="O35" i="7"/>
  <c r="O63" i="7"/>
  <c r="O62" i="7"/>
  <c r="P64" i="7"/>
  <c r="P20" i="7"/>
  <c r="P21" i="7"/>
  <c r="P11" i="7"/>
  <c r="P12" i="7"/>
  <c r="P30" i="7"/>
  <c r="P35" i="7"/>
  <c r="P63" i="7"/>
  <c r="P62" i="7"/>
  <c r="Q64" i="7"/>
  <c r="Q20" i="7"/>
  <c r="Q21" i="7"/>
  <c r="Q11" i="7"/>
  <c r="Q12" i="7"/>
  <c r="Q30" i="7"/>
  <c r="Q35" i="7"/>
  <c r="Q63" i="7"/>
  <c r="Q62" i="7"/>
  <c r="R69" i="7"/>
  <c r="S69" i="7"/>
  <c r="T69" i="7"/>
  <c r="U69" i="7"/>
  <c r="V69" i="7"/>
  <c r="W69" i="7"/>
  <c r="X69" i="7"/>
  <c r="Y69" i="7"/>
  <c r="Z69" i="7"/>
  <c r="AA69" i="7"/>
  <c r="AB69" i="7"/>
  <c r="AC69" i="7"/>
  <c r="AD69" i="7"/>
  <c r="AE69" i="7"/>
  <c r="AF69" i="7"/>
  <c r="G69" i="7"/>
  <c r="AX207" i="3"/>
  <c r="AX218" i="3"/>
  <c r="AY207" i="3"/>
  <c r="AY218" i="3"/>
  <c r="AZ207" i="3"/>
  <c r="AZ218" i="3"/>
  <c r="BA207" i="3"/>
  <c r="BA218" i="3"/>
  <c r="BB207" i="3"/>
  <c r="BB218" i="3"/>
  <c r="BC207" i="3"/>
  <c r="BC218" i="3"/>
  <c r="BD207" i="3"/>
  <c r="BD218" i="3"/>
  <c r="BE207" i="3"/>
  <c r="BE218" i="3"/>
  <c r="BF207" i="3"/>
  <c r="BF218" i="3"/>
  <c r="BG207" i="3"/>
  <c r="BG218" i="3"/>
  <c r="BH207" i="3"/>
  <c r="BH218" i="3"/>
  <c r="BI207" i="3"/>
  <c r="BI218" i="3"/>
  <c r="BJ207" i="3"/>
  <c r="BJ218" i="3"/>
  <c r="BK207" i="3"/>
  <c r="BK218" i="3"/>
  <c r="BL207" i="3"/>
  <c r="BL218" i="3"/>
  <c r="AM207" i="3"/>
  <c r="AM218" i="3"/>
  <c r="AX208" i="3"/>
  <c r="AX219" i="3"/>
  <c r="AY208" i="3"/>
  <c r="AY219" i="3"/>
  <c r="AZ208" i="3"/>
  <c r="AZ219" i="3"/>
  <c r="BA208" i="3"/>
  <c r="BA219" i="3"/>
  <c r="BB208" i="3"/>
  <c r="BB219" i="3"/>
  <c r="BC208" i="3"/>
  <c r="BC219" i="3"/>
  <c r="BD208" i="3"/>
  <c r="BD219" i="3"/>
  <c r="BE208" i="3"/>
  <c r="BE219" i="3"/>
  <c r="BF208" i="3"/>
  <c r="BF219" i="3"/>
  <c r="BG208" i="3"/>
  <c r="BG219" i="3"/>
  <c r="BH208" i="3"/>
  <c r="BH219" i="3"/>
  <c r="BI208" i="3"/>
  <c r="BI219" i="3"/>
  <c r="BJ208" i="3"/>
  <c r="BJ219" i="3"/>
  <c r="BK208" i="3"/>
  <c r="BK219" i="3"/>
  <c r="BL208" i="3"/>
  <c r="BL219" i="3"/>
  <c r="AM208" i="3"/>
  <c r="AM219" i="3"/>
  <c r="AX196" i="3"/>
  <c r="AX217" i="3"/>
  <c r="AY196" i="3"/>
  <c r="AY217" i="3"/>
  <c r="AZ196" i="3"/>
  <c r="AZ217" i="3"/>
  <c r="BA196" i="3"/>
  <c r="BA217" i="3"/>
  <c r="BB196" i="3"/>
  <c r="BB217" i="3"/>
  <c r="BC196" i="3"/>
  <c r="BC217" i="3"/>
  <c r="BD196" i="3"/>
  <c r="BD217" i="3"/>
  <c r="BE196" i="3"/>
  <c r="BE217" i="3"/>
  <c r="BF196" i="3"/>
  <c r="BF217" i="3"/>
  <c r="BG196" i="3"/>
  <c r="BG217" i="3"/>
  <c r="BH196" i="3"/>
  <c r="BH217" i="3"/>
  <c r="BI196" i="3"/>
  <c r="BI217" i="3"/>
  <c r="BJ196" i="3"/>
  <c r="BJ217" i="3"/>
  <c r="BK196" i="3"/>
  <c r="BK217" i="3"/>
  <c r="BL196" i="3"/>
  <c r="BL217" i="3"/>
  <c r="AM196" i="3"/>
  <c r="AM217" i="3"/>
  <c r="R204" i="3"/>
  <c r="R215" i="3"/>
  <c r="S204" i="3"/>
  <c r="S215" i="3"/>
  <c r="T204" i="3"/>
  <c r="T215" i="3"/>
  <c r="U204" i="3"/>
  <c r="U215" i="3"/>
  <c r="V204" i="3"/>
  <c r="V215" i="3"/>
  <c r="W204" i="3"/>
  <c r="W215" i="3"/>
  <c r="X204" i="3"/>
  <c r="X215" i="3"/>
  <c r="Y204" i="3"/>
  <c r="Y215" i="3"/>
  <c r="Z204" i="3"/>
  <c r="Z215" i="3"/>
  <c r="AA204" i="3"/>
  <c r="AA215" i="3"/>
  <c r="AB204" i="3"/>
  <c r="AB215" i="3"/>
  <c r="AC204" i="3"/>
  <c r="AC215" i="3"/>
  <c r="AD204" i="3"/>
  <c r="AD215" i="3"/>
  <c r="AE204" i="3"/>
  <c r="AE215" i="3"/>
  <c r="AF204" i="3"/>
  <c r="AF215" i="3"/>
  <c r="G204" i="3"/>
  <c r="G215" i="3"/>
  <c r="R203" i="3"/>
  <c r="R214" i="3"/>
  <c r="S203" i="3"/>
  <c r="S214" i="3"/>
  <c r="T203" i="3"/>
  <c r="T214" i="3"/>
  <c r="U203" i="3"/>
  <c r="U214" i="3"/>
  <c r="V203" i="3"/>
  <c r="V214" i="3"/>
  <c r="W203" i="3"/>
  <c r="W214" i="3"/>
  <c r="X203" i="3"/>
  <c r="X214" i="3"/>
  <c r="Y203" i="3"/>
  <c r="Y214" i="3"/>
  <c r="Z203" i="3"/>
  <c r="Z214" i="3"/>
  <c r="AA203" i="3"/>
  <c r="AA214" i="3"/>
  <c r="AB203" i="3"/>
  <c r="AB214" i="3"/>
  <c r="AC203" i="3"/>
  <c r="AC214" i="3"/>
  <c r="AD203" i="3"/>
  <c r="AD214" i="3"/>
  <c r="AE203" i="3"/>
  <c r="AE214" i="3"/>
  <c r="AF203" i="3"/>
  <c r="AF214" i="3"/>
  <c r="G203" i="3"/>
  <c r="G214" i="3"/>
  <c r="R194" i="3"/>
  <c r="R213" i="3"/>
  <c r="S194" i="3"/>
  <c r="S213" i="3"/>
  <c r="T194" i="3"/>
  <c r="T213" i="3"/>
  <c r="U194" i="3"/>
  <c r="U213" i="3"/>
  <c r="V194" i="3"/>
  <c r="V213" i="3"/>
  <c r="W194" i="3"/>
  <c r="W213" i="3"/>
  <c r="X194" i="3"/>
  <c r="X213" i="3"/>
  <c r="Y194" i="3"/>
  <c r="Y213" i="3"/>
  <c r="Z194" i="3"/>
  <c r="Z213" i="3"/>
  <c r="AA194" i="3"/>
  <c r="AA213" i="3"/>
  <c r="AB194" i="3"/>
  <c r="AB213" i="3"/>
  <c r="AC194" i="3"/>
  <c r="AC213" i="3"/>
  <c r="AD194" i="3"/>
  <c r="AD213" i="3"/>
  <c r="AE194" i="3"/>
  <c r="AE213" i="3"/>
  <c r="AF194" i="3"/>
  <c r="AF213" i="3"/>
  <c r="G194" i="3"/>
  <c r="G213" i="3"/>
  <c r="AN107" i="3"/>
  <c r="H56" i="7"/>
  <c r="AN106" i="3"/>
  <c r="AN108" i="3"/>
  <c r="AN105" i="3"/>
  <c r="AO107" i="3"/>
  <c r="I56" i="7"/>
  <c r="AO106" i="3"/>
  <c r="AO108" i="3"/>
  <c r="AO105" i="3"/>
  <c r="AP107" i="3"/>
  <c r="J56" i="7"/>
  <c r="AP106" i="3"/>
  <c r="AP108" i="3"/>
  <c r="AP105" i="3"/>
  <c r="AQ107" i="3"/>
  <c r="K56" i="7"/>
  <c r="AQ106" i="3"/>
  <c r="AQ108" i="3"/>
  <c r="AQ105" i="3"/>
  <c r="AR107" i="3"/>
  <c r="L56" i="7"/>
  <c r="AR106" i="3"/>
  <c r="AR108" i="3"/>
  <c r="AR105" i="3"/>
  <c r="AS107" i="3"/>
  <c r="M56" i="7"/>
  <c r="AS106" i="3"/>
  <c r="AS108" i="3"/>
  <c r="AS105" i="3"/>
  <c r="AT107" i="3"/>
  <c r="N56" i="7"/>
  <c r="AT106" i="3"/>
  <c r="AT108" i="3"/>
  <c r="AT105" i="3"/>
  <c r="AU107" i="3"/>
  <c r="O56" i="7"/>
  <c r="AU106" i="3"/>
  <c r="AU108" i="3"/>
  <c r="AU105" i="3"/>
  <c r="AV107" i="3"/>
  <c r="P56" i="7"/>
  <c r="AV106" i="3"/>
  <c r="AV108" i="3"/>
  <c r="AV105" i="3"/>
  <c r="AW107" i="3"/>
  <c r="Q56" i="7"/>
  <c r="AW106" i="3"/>
  <c r="AW108" i="3"/>
  <c r="AW105" i="3"/>
  <c r="AX107" i="3"/>
  <c r="R56" i="7"/>
  <c r="AX106" i="3"/>
  <c r="AX108" i="3"/>
  <c r="AX105" i="3"/>
  <c r="AY107" i="3"/>
  <c r="S56" i="7"/>
  <c r="AY106" i="3"/>
  <c r="AY108" i="3"/>
  <c r="AY105" i="3"/>
  <c r="AZ107" i="3"/>
  <c r="T56" i="7"/>
  <c r="AZ106" i="3"/>
  <c r="AZ108" i="3"/>
  <c r="AZ105" i="3"/>
  <c r="BA107" i="3"/>
  <c r="U56" i="7"/>
  <c r="BA106" i="3"/>
  <c r="BA108" i="3"/>
  <c r="BA105" i="3"/>
  <c r="BB107" i="3"/>
  <c r="V56" i="7"/>
  <c r="BB106" i="3"/>
  <c r="BB108" i="3"/>
  <c r="BB105" i="3"/>
  <c r="BC107" i="3"/>
  <c r="W56" i="7"/>
  <c r="BC106" i="3"/>
  <c r="BC108" i="3"/>
  <c r="BC105" i="3"/>
  <c r="BD107" i="3"/>
  <c r="X56" i="7"/>
  <c r="BD106" i="3"/>
  <c r="BD108" i="3"/>
  <c r="BD105" i="3"/>
  <c r="BE107" i="3"/>
  <c r="Y56" i="7"/>
  <c r="BE106" i="3"/>
  <c r="BE108" i="3"/>
  <c r="BE105" i="3"/>
  <c r="BF107" i="3"/>
  <c r="Z56" i="7"/>
  <c r="BF106" i="3"/>
  <c r="BF108" i="3"/>
  <c r="BF105" i="3"/>
  <c r="BG107" i="3"/>
  <c r="AA56" i="7"/>
  <c r="BG106" i="3"/>
  <c r="BG108" i="3"/>
  <c r="BG105" i="3"/>
  <c r="BH107" i="3"/>
  <c r="AB56" i="7"/>
  <c r="BH106" i="3"/>
  <c r="BH108" i="3"/>
  <c r="BH105" i="3"/>
  <c r="BI107" i="3"/>
  <c r="AC56" i="7"/>
  <c r="BI106" i="3"/>
  <c r="BI108" i="3"/>
  <c r="BI105" i="3"/>
  <c r="BJ107" i="3"/>
  <c r="AD56" i="7"/>
  <c r="BJ106" i="3"/>
  <c r="BJ108" i="3"/>
  <c r="BJ105" i="3"/>
  <c r="BK107" i="3"/>
  <c r="AE56" i="7"/>
  <c r="BK106" i="3"/>
  <c r="BK108" i="3"/>
  <c r="BK105" i="3"/>
  <c r="BL107" i="3"/>
  <c r="AF56" i="7"/>
  <c r="BL106" i="3"/>
  <c r="BL108" i="3"/>
  <c r="BL105" i="3"/>
  <c r="AM107" i="3"/>
  <c r="AM106" i="3"/>
  <c r="AM108" i="3"/>
  <c r="AM105" i="3"/>
  <c r="G54" i="7"/>
  <c r="G106" i="3"/>
  <c r="G107" i="3"/>
  <c r="G108" i="3"/>
  <c r="G105" i="3"/>
  <c r="L54" i="7"/>
  <c r="L106" i="3"/>
  <c r="L107" i="3"/>
  <c r="L108" i="3"/>
  <c r="L105" i="3"/>
  <c r="M54" i="7"/>
  <c r="M106" i="3"/>
  <c r="M107" i="3"/>
  <c r="M108" i="3"/>
  <c r="M105" i="3"/>
  <c r="N54" i="7"/>
  <c r="N106" i="3"/>
  <c r="N107" i="3"/>
  <c r="N108" i="3"/>
  <c r="N105" i="3"/>
  <c r="O54" i="7"/>
  <c r="O106" i="3"/>
  <c r="O107" i="3"/>
  <c r="O108" i="3"/>
  <c r="O105" i="3"/>
  <c r="P54" i="7"/>
  <c r="P106" i="3"/>
  <c r="P107" i="3"/>
  <c r="P108" i="3"/>
  <c r="P105" i="3"/>
  <c r="Q54" i="7"/>
  <c r="Q106" i="3"/>
  <c r="Q107" i="3"/>
  <c r="Q108" i="3"/>
  <c r="Q105" i="3"/>
  <c r="R54" i="7"/>
  <c r="R106" i="3"/>
  <c r="R107" i="3"/>
  <c r="R108" i="3"/>
  <c r="R105" i="3"/>
  <c r="S54" i="7"/>
  <c r="S106" i="3"/>
  <c r="S107" i="3"/>
  <c r="S108" i="3"/>
  <c r="S105" i="3"/>
  <c r="T54" i="7"/>
  <c r="T106" i="3"/>
  <c r="T107" i="3"/>
  <c r="T108" i="3"/>
  <c r="T105" i="3"/>
  <c r="U54" i="7"/>
  <c r="U106" i="3"/>
  <c r="U107" i="3"/>
  <c r="U108" i="3"/>
  <c r="U105" i="3"/>
  <c r="V54" i="7"/>
  <c r="V106" i="3"/>
  <c r="V107" i="3"/>
  <c r="V108" i="3"/>
  <c r="V105" i="3"/>
  <c r="W54" i="7"/>
  <c r="W106" i="3"/>
  <c r="W107" i="3"/>
  <c r="W108" i="3"/>
  <c r="W105" i="3"/>
  <c r="X54" i="7"/>
  <c r="X106" i="3"/>
  <c r="X107" i="3"/>
  <c r="X108" i="3"/>
  <c r="X105" i="3"/>
  <c r="Y54" i="7"/>
  <c r="Y106" i="3"/>
  <c r="Y107" i="3"/>
  <c r="Y108" i="3"/>
  <c r="Y105" i="3"/>
  <c r="Z54" i="7"/>
  <c r="Z106" i="3"/>
  <c r="Z107" i="3"/>
  <c r="Z108" i="3"/>
  <c r="Z105" i="3"/>
  <c r="AA54" i="7"/>
  <c r="AA106" i="3"/>
  <c r="AA107" i="3"/>
  <c r="AA108" i="3"/>
  <c r="AA105" i="3"/>
  <c r="AB54" i="7"/>
  <c r="AB106" i="3"/>
  <c r="AB107" i="3"/>
  <c r="AB108" i="3"/>
  <c r="AB105" i="3"/>
  <c r="AC54" i="7"/>
  <c r="AC106" i="3"/>
  <c r="AC107" i="3"/>
  <c r="AC108" i="3"/>
  <c r="AC105" i="3"/>
  <c r="AD54" i="7"/>
  <c r="AD106" i="3"/>
  <c r="AD107" i="3"/>
  <c r="AD108" i="3"/>
  <c r="AD105" i="3"/>
  <c r="AE54" i="7"/>
  <c r="AE106" i="3"/>
  <c r="AE107" i="3"/>
  <c r="AE108" i="3"/>
  <c r="AE105" i="3"/>
  <c r="AF54" i="7"/>
  <c r="AF106" i="3"/>
  <c r="AF107" i="3"/>
  <c r="AF108" i="3"/>
  <c r="AF105" i="3"/>
  <c r="I54" i="7"/>
  <c r="I106" i="3"/>
  <c r="I107" i="3"/>
  <c r="I108" i="3"/>
  <c r="I105" i="3"/>
  <c r="J54" i="7"/>
  <c r="J106" i="3"/>
  <c r="J107" i="3"/>
  <c r="J108" i="3"/>
  <c r="J105" i="3"/>
  <c r="K54" i="7"/>
  <c r="K106" i="3"/>
  <c r="K107" i="3"/>
  <c r="K108" i="3"/>
  <c r="K105" i="3"/>
  <c r="H54" i="7"/>
  <c r="H106" i="3"/>
  <c r="H107" i="3"/>
  <c r="H108" i="3"/>
  <c r="H105" i="3"/>
  <c r="AN38" i="3"/>
  <c r="AN39" i="3"/>
  <c r="AO38" i="3"/>
  <c r="AO39" i="3"/>
  <c r="AP38" i="3"/>
  <c r="AP39" i="3"/>
  <c r="AQ38" i="3"/>
  <c r="AQ39" i="3"/>
  <c r="AR38" i="3"/>
  <c r="AR39" i="3"/>
  <c r="AS38" i="3"/>
  <c r="AS39" i="3"/>
  <c r="AT38" i="3"/>
  <c r="AT39" i="3"/>
  <c r="AU38" i="3"/>
  <c r="AU39" i="3"/>
  <c r="AV38" i="3"/>
  <c r="AV39" i="3"/>
  <c r="AW38" i="3"/>
  <c r="AW39" i="3"/>
  <c r="AX38" i="3"/>
  <c r="AX39" i="3"/>
  <c r="AY38" i="3"/>
  <c r="AY39" i="3"/>
  <c r="AZ38" i="3"/>
  <c r="AZ39" i="3"/>
  <c r="BA38" i="3"/>
  <c r="BA39" i="3"/>
  <c r="BB38" i="3"/>
  <c r="BB39" i="3"/>
  <c r="BC38" i="3"/>
  <c r="BC39" i="3"/>
  <c r="BD38" i="3"/>
  <c r="BD39" i="3"/>
  <c r="BE38" i="3"/>
  <c r="BE39" i="3"/>
  <c r="BF38" i="3"/>
  <c r="BF39" i="3"/>
  <c r="BG38" i="3"/>
  <c r="BG39" i="3"/>
  <c r="BH38" i="3"/>
  <c r="BH39" i="3"/>
  <c r="BI38" i="3"/>
  <c r="BI39" i="3"/>
  <c r="BJ38" i="3"/>
  <c r="BJ39" i="3"/>
  <c r="BK38" i="3"/>
  <c r="BK39" i="3"/>
  <c r="BL38" i="3"/>
  <c r="BL39" i="3"/>
  <c r="F64" i="1"/>
  <c r="R120" i="3"/>
  <c r="S120" i="3"/>
  <c r="T120" i="3"/>
  <c r="U120" i="3"/>
  <c r="V120" i="3"/>
  <c r="W120" i="3"/>
  <c r="X120" i="3"/>
  <c r="Y120" i="3"/>
  <c r="Z120" i="3"/>
  <c r="AA120" i="3"/>
  <c r="AB120" i="3"/>
  <c r="AC120" i="3"/>
  <c r="AD120" i="3"/>
  <c r="AE120" i="3"/>
  <c r="AF120" i="3"/>
  <c r="G120" i="3"/>
  <c r="AX120" i="3"/>
  <c r="AY120" i="3"/>
  <c r="AZ120" i="3"/>
  <c r="BA120" i="3"/>
  <c r="BB120" i="3"/>
  <c r="BC120" i="3"/>
  <c r="BD120" i="3"/>
  <c r="BE120" i="3"/>
  <c r="BF120" i="3"/>
  <c r="BG120" i="3"/>
  <c r="BH120" i="3"/>
  <c r="BI120" i="3"/>
  <c r="BJ120" i="3"/>
  <c r="BK120" i="3"/>
  <c r="BL120" i="3"/>
  <c r="AM120" i="3"/>
  <c r="G111" i="7"/>
  <c r="R111" i="7"/>
  <c r="S111" i="7"/>
  <c r="T111" i="7"/>
  <c r="U111" i="7"/>
  <c r="V111" i="7"/>
  <c r="W111" i="7"/>
  <c r="X111" i="7"/>
  <c r="Y111" i="7"/>
  <c r="Z111" i="7"/>
  <c r="AA111" i="7"/>
  <c r="AB111" i="7"/>
  <c r="AC111" i="7"/>
  <c r="AD111" i="7"/>
  <c r="AE111" i="7"/>
  <c r="AF111" i="7"/>
  <c r="G110" i="3"/>
  <c r="H93" i="3"/>
  <c r="H92" i="3"/>
  <c r="I93" i="3"/>
  <c r="I94" i="3"/>
  <c r="I92" i="3"/>
  <c r="J93" i="3"/>
  <c r="J94" i="3"/>
  <c r="J95" i="3"/>
  <c r="J92" i="3"/>
  <c r="K93" i="3"/>
  <c r="K94" i="3"/>
  <c r="K95" i="3"/>
  <c r="K96" i="3"/>
  <c r="K92" i="3"/>
  <c r="L93" i="3"/>
  <c r="L94" i="3"/>
  <c r="L95" i="3"/>
  <c r="L96" i="3"/>
  <c r="L97" i="3"/>
  <c r="L92" i="3"/>
  <c r="M93" i="3"/>
  <c r="M94" i="3"/>
  <c r="M95" i="3"/>
  <c r="M96" i="3"/>
  <c r="M97" i="3"/>
  <c r="M98" i="3"/>
  <c r="M92" i="3"/>
  <c r="N93" i="3"/>
  <c r="N94" i="3"/>
  <c r="N95" i="3"/>
  <c r="N96" i="3"/>
  <c r="N97" i="3"/>
  <c r="N98" i="3"/>
  <c r="N99" i="3"/>
  <c r="N92" i="3"/>
  <c r="O93" i="3"/>
  <c r="O94" i="3"/>
  <c r="O95" i="3"/>
  <c r="O96" i="3"/>
  <c r="O97" i="3"/>
  <c r="O98" i="3"/>
  <c r="O99" i="3"/>
  <c r="O100" i="3"/>
  <c r="O92" i="3"/>
  <c r="P93" i="3"/>
  <c r="P94" i="3"/>
  <c r="P95" i="3"/>
  <c r="P96" i="3"/>
  <c r="P97" i="3"/>
  <c r="P98" i="3"/>
  <c r="P99" i="3"/>
  <c r="P100" i="3"/>
  <c r="P101" i="3"/>
  <c r="P92" i="3"/>
  <c r="Q93" i="3"/>
  <c r="Q94" i="3"/>
  <c r="Q95" i="3"/>
  <c r="Q96" i="3"/>
  <c r="Q97" i="3"/>
  <c r="Q98" i="3"/>
  <c r="Q99" i="3"/>
  <c r="Q100" i="3"/>
  <c r="Q101" i="3"/>
  <c r="Q102" i="3"/>
  <c r="Q92" i="3"/>
  <c r="R93" i="3"/>
  <c r="R94" i="3"/>
  <c r="R95" i="3"/>
  <c r="R96" i="3"/>
  <c r="R97" i="3"/>
  <c r="R98" i="3"/>
  <c r="R99" i="3"/>
  <c r="R100" i="3"/>
  <c r="R101" i="3"/>
  <c r="R102" i="3"/>
  <c r="R92" i="3"/>
  <c r="S93" i="3"/>
  <c r="S94" i="3"/>
  <c r="S95" i="3"/>
  <c r="S96" i="3"/>
  <c r="S97" i="3"/>
  <c r="S98" i="3"/>
  <c r="S99" i="3"/>
  <c r="S100" i="3"/>
  <c r="S101" i="3"/>
  <c r="S102" i="3"/>
  <c r="S92" i="3"/>
  <c r="T93" i="3"/>
  <c r="T94" i="3"/>
  <c r="T95" i="3"/>
  <c r="T96" i="3"/>
  <c r="T97" i="3"/>
  <c r="T98" i="3"/>
  <c r="T99" i="3"/>
  <c r="T100" i="3"/>
  <c r="T101" i="3"/>
  <c r="T102" i="3"/>
  <c r="T92" i="3"/>
  <c r="U93" i="3"/>
  <c r="U94" i="3"/>
  <c r="U95" i="3"/>
  <c r="U96" i="3"/>
  <c r="U97" i="3"/>
  <c r="U98" i="3"/>
  <c r="U99" i="3"/>
  <c r="U100" i="3"/>
  <c r="U101" i="3"/>
  <c r="U102" i="3"/>
  <c r="U92" i="3"/>
  <c r="V93" i="3"/>
  <c r="V94" i="3"/>
  <c r="V95" i="3"/>
  <c r="V96" i="3"/>
  <c r="V97" i="3"/>
  <c r="V98" i="3"/>
  <c r="V99" i="3"/>
  <c r="V100" i="3"/>
  <c r="V101" i="3"/>
  <c r="V102" i="3"/>
  <c r="V92" i="3"/>
  <c r="W93" i="3"/>
  <c r="W94" i="3"/>
  <c r="W95" i="3"/>
  <c r="W96" i="3"/>
  <c r="W97" i="3"/>
  <c r="W98" i="3"/>
  <c r="W99" i="3"/>
  <c r="W100" i="3"/>
  <c r="W101" i="3"/>
  <c r="W102" i="3"/>
  <c r="W92" i="3"/>
  <c r="X93" i="3"/>
  <c r="X94" i="3"/>
  <c r="X95" i="3"/>
  <c r="X96" i="3"/>
  <c r="X97" i="3"/>
  <c r="X98" i="3"/>
  <c r="X99" i="3"/>
  <c r="X100" i="3"/>
  <c r="X101" i="3"/>
  <c r="X102" i="3"/>
  <c r="X92" i="3"/>
  <c r="Y93" i="3"/>
  <c r="Y94" i="3"/>
  <c r="Y95" i="3"/>
  <c r="Y96" i="3"/>
  <c r="Y97" i="3"/>
  <c r="Y98" i="3"/>
  <c r="Y99" i="3"/>
  <c r="Y100" i="3"/>
  <c r="Y101" i="3"/>
  <c r="Y102" i="3"/>
  <c r="Y92" i="3"/>
  <c r="Z93" i="3"/>
  <c r="Z94" i="3"/>
  <c r="Z95" i="3"/>
  <c r="Z96" i="3"/>
  <c r="Z97" i="3"/>
  <c r="Z98" i="3"/>
  <c r="Z99" i="3"/>
  <c r="Z100" i="3"/>
  <c r="Z101" i="3"/>
  <c r="Z102" i="3"/>
  <c r="Z92" i="3"/>
  <c r="AA93" i="3"/>
  <c r="AA94" i="3"/>
  <c r="AA95" i="3"/>
  <c r="AA96" i="3"/>
  <c r="AA97" i="3"/>
  <c r="AA98" i="3"/>
  <c r="AA99" i="3"/>
  <c r="AA100" i="3"/>
  <c r="AA101" i="3"/>
  <c r="AA102" i="3"/>
  <c r="AA92" i="3"/>
  <c r="AB93" i="3"/>
  <c r="AB94" i="3"/>
  <c r="AB95" i="3"/>
  <c r="AB96" i="3"/>
  <c r="AB97" i="3"/>
  <c r="AB98" i="3"/>
  <c r="AB99" i="3"/>
  <c r="AB100" i="3"/>
  <c r="AB101" i="3"/>
  <c r="AB102" i="3"/>
  <c r="AB92" i="3"/>
  <c r="AC93" i="3"/>
  <c r="AC94" i="3"/>
  <c r="AC95" i="3"/>
  <c r="AC96" i="3"/>
  <c r="AC97" i="3"/>
  <c r="AC98" i="3"/>
  <c r="AC99" i="3"/>
  <c r="AC100" i="3"/>
  <c r="AC101" i="3"/>
  <c r="AC102" i="3"/>
  <c r="AC92" i="3"/>
  <c r="AD93" i="3"/>
  <c r="AD94" i="3"/>
  <c r="AD95" i="3"/>
  <c r="AD96" i="3"/>
  <c r="AD97" i="3"/>
  <c r="AD98" i="3"/>
  <c r="AD99" i="3"/>
  <c r="AD100" i="3"/>
  <c r="AD101" i="3"/>
  <c r="AD102" i="3"/>
  <c r="AD92" i="3"/>
  <c r="AE93" i="3"/>
  <c r="AE94" i="3"/>
  <c r="AE95" i="3"/>
  <c r="AE96" i="3"/>
  <c r="AE97" i="3"/>
  <c r="AE98" i="3"/>
  <c r="AE99" i="3"/>
  <c r="AE100" i="3"/>
  <c r="AE101" i="3"/>
  <c r="AE102" i="3"/>
  <c r="AE92" i="3"/>
  <c r="AF93" i="3"/>
  <c r="AF94" i="3"/>
  <c r="AF95" i="3"/>
  <c r="AF96" i="3"/>
  <c r="AF97" i="3"/>
  <c r="AF98" i="3"/>
  <c r="AF99" i="3"/>
  <c r="AF100" i="3"/>
  <c r="AF101" i="3"/>
  <c r="AF102" i="3"/>
  <c r="AF92" i="3"/>
  <c r="E93" i="7"/>
  <c r="G93" i="7"/>
  <c r="R93" i="7"/>
  <c r="S93" i="7"/>
  <c r="T93" i="7"/>
  <c r="U93" i="7"/>
  <c r="V93" i="7"/>
  <c r="W93" i="7"/>
  <c r="X93" i="7"/>
  <c r="Y93" i="7"/>
  <c r="Z93" i="7"/>
  <c r="AA93" i="7"/>
  <c r="AB93" i="7"/>
  <c r="AC93" i="7"/>
  <c r="AD93" i="7"/>
  <c r="AE93" i="7"/>
  <c r="AF93" i="7"/>
  <c r="R84" i="7"/>
  <c r="S84" i="7"/>
  <c r="T84" i="7"/>
  <c r="U84" i="7"/>
  <c r="V84" i="7"/>
  <c r="W84" i="7"/>
  <c r="X84" i="7"/>
  <c r="Y84" i="7"/>
  <c r="Z84" i="7"/>
  <c r="AA84" i="7"/>
  <c r="AB84" i="7"/>
  <c r="AC84" i="7"/>
  <c r="AD84" i="7"/>
  <c r="AE84" i="7"/>
  <c r="AF84" i="7"/>
  <c r="G84" i="7"/>
  <c r="R110" i="3"/>
  <c r="AX110" i="3"/>
  <c r="S110" i="3"/>
  <c r="AY110" i="3"/>
  <c r="T110" i="3"/>
  <c r="AZ110" i="3"/>
  <c r="U110" i="3"/>
  <c r="BA110" i="3"/>
  <c r="V110" i="3"/>
  <c r="BB110" i="3"/>
  <c r="W110" i="3"/>
  <c r="BC110" i="3"/>
  <c r="X110" i="3"/>
  <c r="BD110" i="3"/>
  <c r="Y110" i="3"/>
  <c r="BE110" i="3"/>
  <c r="Z110" i="3"/>
  <c r="BF110" i="3"/>
  <c r="AA110" i="3"/>
  <c r="BG110" i="3"/>
  <c r="AB110" i="3"/>
  <c r="BH110" i="3"/>
  <c r="AC110" i="3"/>
  <c r="BI110" i="3"/>
  <c r="AD110" i="3"/>
  <c r="BJ110" i="3"/>
  <c r="AE110" i="3"/>
  <c r="BK110" i="3"/>
  <c r="AF110" i="3"/>
  <c r="BL110" i="3"/>
  <c r="AN210" i="3"/>
  <c r="AO210" i="3"/>
  <c r="AP210" i="3"/>
  <c r="AQ210" i="3"/>
  <c r="AR210" i="3"/>
  <c r="AS210" i="3"/>
  <c r="AT210" i="3"/>
  <c r="AU210" i="3"/>
  <c r="AV210" i="3"/>
  <c r="AW210" i="3"/>
  <c r="AX210" i="3"/>
  <c r="AY210" i="3"/>
  <c r="AZ210" i="3"/>
  <c r="BA210" i="3"/>
  <c r="BB210" i="3"/>
  <c r="BC210" i="3"/>
  <c r="BD210" i="3"/>
  <c r="BE210" i="3"/>
  <c r="BF210" i="3"/>
  <c r="BG210" i="3"/>
  <c r="BH210" i="3"/>
  <c r="BI210" i="3"/>
  <c r="BJ210" i="3"/>
  <c r="BK210" i="3"/>
  <c r="BL210" i="3"/>
  <c r="AN200" i="3"/>
  <c r="AN211" i="3"/>
  <c r="AO200" i="3"/>
  <c r="AO211" i="3"/>
  <c r="AP200" i="3"/>
  <c r="AP211" i="3"/>
  <c r="AQ200" i="3"/>
  <c r="AQ211" i="3"/>
  <c r="AR200" i="3"/>
  <c r="AR211" i="3"/>
  <c r="AS200" i="3"/>
  <c r="AS211" i="3"/>
  <c r="AT200" i="3"/>
  <c r="AT211" i="3"/>
  <c r="AU200" i="3"/>
  <c r="AU211" i="3"/>
  <c r="AV200" i="3"/>
  <c r="AV211" i="3"/>
  <c r="AW200" i="3"/>
  <c r="AW211" i="3"/>
  <c r="AX200" i="3"/>
  <c r="AX211" i="3"/>
  <c r="AY200" i="3"/>
  <c r="AY211" i="3"/>
  <c r="AZ200" i="3"/>
  <c r="AZ211" i="3"/>
  <c r="BA200" i="3"/>
  <c r="BA211" i="3"/>
  <c r="BB200" i="3"/>
  <c r="BB211" i="3"/>
  <c r="BC200" i="3"/>
  <c r="BC211" i="3"/>
  <c r="BD200" i="3"/>
  <c r="BD211" i="3"/>
  <c r="BE200" i="3"/>
  <c r="BE211" i="3"/>
  <c r="BF200" i="3"/>
  <c r="BF211" i="3"/>
  <c r="BG200" i="3"/>
  <c r="BG211" i="3"/>
  <c r="BH200" i="3"/>
  <c r="BH211" i="3"/>
  <c r="BI200" i="3"/>
  <c r="BI211" i="3"/>
  <c r="BJ200" i="3"/>
  <c r="BJ211" i="3"/>
  <c r="BK200" i="3"/>
  <c r="BK211" i="3"/>
  <c r="BL200" i="3"/>
  <c r="BL211" i="3"/>
  <c r="AM210" i="3"/>
  <c r="AM200" i="3"/>
  <c r="AM211" i="3"/>
  <c r="AM213" i="3"/>
  <c r="AM212" i="3"/>
  <c r="G208" i="3"/>
  <c r="AK91" i="10"/>
  <c r="AN98" i="10"/>
  <c r="AK74" i="10"/>
  <c r="AM98" i="10"/>
  <c r="AM102" i="10"/>
  <c r="AK57" i="10"/>
  <c r="AL98" i="10"/>
  <c r="AL102" i="10"/>
  <c r="AK40" i="10"/>
  <c r="AK98" i="10"/>
  <c r="H17" i="10"/>
  <c r="H18" i="10"/>
  <c r="H19" i="10"/>
  <c r="I17" i="10"/>
  <c r="I18" i="10"/>
  <c r="I19" i="10"/>
  <c r="J17" i="10"/>
  <c r="J18" i="10"/>
  <c r="J19" i="10"/>
  <c r="K17" i="10"/>
  <c r="K18" i="10"/>
  <c r="K19" i="10"/>
  <c r="L17" i="10"/>
  <c r="L18" i="10"/>
  <c r="L19" i="10"/>
  <c r="M17" i="10"/>
  <c r="M18" i="10"/>
  <c r="M19" i="10"/>
  <c r="N17" i="10"/>
  <c r="N18" i="10"/>
  <c r="N19" i="10"/>
  <c r="O17" i="10"/>
  <c r="O18" i="10"/>
  <c r="O19" i="10"/>
  <c r="P17" i="10"/>
  <c r="P18" i="10"/>
  <c r="P19" i="10"/>
  <c r="Q17" i="10"/>
  <c r="Q18" i="10"/>
  <c r="Q19" i="10"/>
  <c r="R17" i="10"/>
  <c r="R18" i="10"/>
  <c r="R19" i="10"/>
  <c r="S17" i="10"/>
  <c r="S18" i="10"/>
  <c r="S19" i="10"/>
  <c r="T17" i="10"/>
  <c r="T18" i="10"/>
  <c r="T19" i="10"/>
  <c r="U17" i="10"/>
  <c r="U18" i="10"/>
  <c r="U19" i="10"/>
  <c r="V17" i="10"/>
  <c r="V18" i="10"/>
  <c r="V19" i="10"/>
  <c r="W17" i="10"/>
  <c r="W18" i="10"/>
  <c r="W19" i="10"/>
  <c r="X17" i="10"/>
  <c r="X18" i="10"/>
  <c r="X19" i="10"/>
  <c r="Y17" i="10"/>
  <c r="Y18" i="10"/>
  <c r="Y19" i="10"/>
  <c r="Z17" i="10"/>
  <c r="Z18" i="10"/>
  <c r="Z19" i="10"/>
  <c r="AA17" i="10"/>
  <c r="AA18" i="10"/>
  <c r="AA19" i="10"/>
  <c r="AB17" i="10"/>
  <c r="AB18" i="10"/>
  <c r="AB19" i="10"/>
  <c r="AC17" i="10"/>
  <c r="AC18" i="10"/>
  <c r="AC19" i="10"/>
  <c r="AD17" i="10"/>
  <c r="AD18" i="10"/>
  <c r="AD19" i="10"/>
  <c r="F42" i="10"/>
  <c r="F50" i="10"/>
  <c r="F49" i="10"/>
  <c r="F44" i="10"/>
  <c r="F53" i="10"/>
  <c r="F57" i="10"/>
  <c r="G98" i="10"/>
  <c r="F59" i="10"/>
  <c r="F67" i="10"/>
  <c r="F66" i="10"/>
  <c r="F62" i="10"/>
  <c r="F63" i="10"/>
  <c r="F61" i="10"/>
  <c r="F70" i="10"/>
  <c r="F74" i="10"/>
  <c r="H98" i="10"/>
  <c r="F91" i="10"/>
  <c r="I98" i="10"/>
  <c r="F24" i="10"/>
  <c r="F40" i="10"/>
  <c r="F98" i="10"/>
  <c r="H37" i="7"/>
  <c r="AN49" i="3"/>
  <c r="H34" i="7"/>
  <c r="AN54" i="3"/>
  <c r="AN50" i="3"/>
  <c r="I37" i="7"/>
  <c r="AO49" i="3"/>
  <c r="I34" i="7"/>
  <c r="AO54" i="3"/>
  <c r="AO50" i="3"/>
  <c r="J37" i="7"/>
  <c r="AP49" i="3"/>
  <c r="J34" i="7"/>
  <c r="AP54" i="3"/>
  <c r="AP50" i="3"/>
  <c r="K37" i="7"/>
  <c r="AQ49" i="3"/>
  <c r="K34" i="7"/>
  <c r="AQ54" i="3"/>
  <c r="AQ50" i="3"/>
  <c r="L37" i="7"/>
  <c r="AR49" i="3"/>
  <c r="L34" i="7"/>
  <c r="AR54" i="3"/>
  <c r="AR50" i="3"/>
  <c r="M37" i="7"/>
  <c r="AS49" i="3"/>
  <c r="M34" i="7"/>
  <c r="AS54" i="3"/>
  <c r="AS50" i="3"/>
  <c r="N37" i="7"/>
  <c r="AT49" i="3"/>
  <c r="N34" i="7"/>
  <c r="AT54" i="3"/>
  <c r="AT50" i="3"/>
  <c r="O37" i="7"/>
  <c r="AU49" i="3"/>
  <c r="O34" i="7"/>
  <c r="AU54" i="3"/>
  <c r="AU50" i="3"/>
  <c r="P37" i="7"/>
  <c r="AV49" i="3"/>
  <c r="P34" i="7"/>
  <c r="AV54" i="3"/>
  <c r="AV50" i="3"/>
  <c r="Q37" i="7"/>
  <c r="AW49" i="3"/>
  <c r="Q34" i="7"/>
  <c r="AW54" i="3"/>
  <c r="AW50" i="3"/>
  <c r="R37" i="7"/>
  <c r="AX49" i="3"/>
  <c r="R34" i="7"/>
  <c r="AX54" i="3"/>
  <c r="AX50" i="3"/>
  <c r="S37" i="7"/>
  <c r="AY49" i="3"/>
  <c r="S34" i="7"/>
  <c r="AY54" i="3"/>
  <c r="AY50" i="3"/>
  <c r="T37" i="7"/>
  <c r="AZ49" i="3"/>
  <c r="T34" i="7"/>
  <c r="AZ54" i="3"/>
  <c r="AZ50" i="3"/>
  <c r="U37" i="7"/>
  <c r="BA49" i="3"/>
  <c r="U34" i="7"/>
  <c r="BA54" i="3"/>
  <c r="BA50" i="3"/>
  <c r="V37" i="7"/>
  <c r="BB49" i="3"/>
  <c r="V34" i="7"/>
  <c r="BB54" i="3"/>
  <c r="BB50" i="3"/>
  <c r="W37" i="7"/>
  <c r="BC49" i="3"/>
  <c r="W34" i="7"/>
  <c r="BC54" i="3"/>
  <c r="BC50" i="3"/>
  <c r="X37" i="7"/>
  <c r="BD49" i="3"/>
  <c r="X34" i="7"/>
  <c r="BD54" i="3"/>
  <c r="BD50" i="3"/>
  <c r="Y37" i="7"/>
  <c r="BE49" i="3"/>
  <c r="Y34" i="7"/>
  <c r="BE54" i="3"/>
  <c r="BE50" i="3"/>
  <c r="Z37" i="7"/>
  <c r="BF49" i="3"/>
  <c r="Z34" i="7"/>
  <c r="BF54" i="3"/>
  <c r="BF50" i="3"/>
  <c r="AA37" i="7"/>
  <c r="BG49" i="3"/>
  <c r="AA34" i="7"/>
  <c r="BG54" i="3"/>
  <c r="BG50" i="3"/>
  <c r="AB37" i="7"/>
  <c r="BH49" i="3"/>
  <c r="AB34" i="7"/>
  <c r="BH54" i="3"/>
  <c r="BH50" i="3"/>
  <c r="AC37" i="7"/>
  <c r="BI49" i="3"/>
  <c r="AC34" i="7"/>
  <c r="BI54" i="3"/>
  <c r="BI50" i="3"/>
  <c r="AD37" i="7"/>
  <c r="BJ49" i="3"/>
  <c r="AD34" i="7"/>
  <c r="BJ54" i="3"/>
  <c r="BJ50" i="3"/>
  <c r="AE37" i="7"/>
  <c r="BK49" i="3"/>
  <c r="AE34" i="7"/>
  <c r="BK54" i="3"/>
  <c r="BK50" i="3"/>
  <c r="AF37" i="7"/>
  <c r="BL49" i="3"/>
  <c r="AF34" i="7"/>
  <c r="BL54" i="3"/>
  <c r="BL50" i="3"/>
  <c r="CQ8" i="3"/>
  <c r="CQ9" i="3"/>
  <c r="CQ7" i="3"/>
  <c r="CP8" i="3"/>
  <c r="CP9" i="3"/>
  <c r="CP7" i="3"/>
  <c r="CO8" i="3"/>
  <c r="CO9" i="3"/>
  <c r="CO7" i="3"/>
  <c r="CN8" i="3"/>
  <c r="CN9" i="3"/>
  <c r="CN7" i="3"/>
  <c r="CM8" i="3"/>
  <c r="CM9" i="3"/>
  <c r="CM7" i="3"/>
  <c r="CL8" i="3"/>
  <c r="CL9" i="3"/>
  <c r="CL7" i="3"/>
  <c r="CK8" i="3"/>
  <c r="CK9" i="3"/>
  <c r="CK7" i="3"/>
  <c r="CJ8" i="3"/>
  <c r="CJ9" i="3"/>
  <c r="CJ7" i="3"/>
  <c r="CI8" i="3"/>
  <c r="CI9" i="3"/>
  <c r="CI7" i="3"/>
  <c r="CH8" i="3"/>
  <c r="CH9" i="3"/>
  <c r="CH7" i="3"/>
  <c r="CG8" i="3"/>
  <c r="CG9" i="3"/>
  <c r="CG7" i="3"/>
  <c r="CF8" i="3"/>
  <c r="CF9" i="3"/>
  <c r="CF7" i="3"/>
  <c r="CE8" i="3"/>
  <c r="CE9" i="3"/>
  <c r="CE7" i="3"/>
  <c r="CD8" i="3"/>
  <c r="CD9" i="3"/>
  <c r="CD7" i="3"/>
  <c r="CC8" i="3"/>
  <c r="CC9" i="3"/>
  <c r="CC7" i="3"/>
  <c r="CB8" i="3"/>
  <c r="CB9" i="3"/>
  <c r="CB7" i="3"/>
  <c r="CA8" i="3"/>
  <c r="CA9" i="3"/>
  <c r="CA7" i="3"/>
  <c r="BZ8" i="3"/>
  <c r="BZ9" i="3"/>
  <c r="BZ7" i="3"/>
  <c r="BY8" i="3"/>
  <c r="BY9" i="3"/>
  <c r="BY7" i="3"/>
  <c r="BX8" i="3"/>
  <c r="BX9" i="3"/>
  <c r="BX7" i="3"/>
  <c r="BW8" i="3"/>
  <c r="BW9" i="3"/>
  <c r="BW7" i="3"/>
  <c r="BV8" i="3"/>
  <c r="BV9" i="3"/>
  <c r="BV7" i="3"/>
  <c r="BU8" i="3"/>
  <c r="BU9" i="3"/>
  <c r="BU7" i="3"/>
  <c r="BT8" i="3"/>
  <c r="BT9" i="3"/>
  <c r="BT7" i="3"/>
  <c r="BS8" i="3"/>
  <c r="BS9" i="3"/>
  <c r="BS7" i="3"/>
  <c r="G164" i="3"/>
  <c r="AM164" i="3"/>
  <c r="BR8" i="3"/>
  <c r="BR9" i="3"/>
  <c r="BR7" i="3"/>
  <c r="BR16" i="3"/>
  <c r="H167" i="3"/>
  <c r="H166" i="3"/>
  <c r="AN166" i="3"/>
  <c r="BS18" i="3"/>
  <c r="AO166" i="3"/>
  <c r="BT18" i="3"/>
  <c r="AP166" i="3"/>
  <c r="BU18" i="3"/>
  <c r="AQ166" i="3"/>
  <c r="BV18" i="3"/>
  <c r="AR166" i="3"/>
  <c r="BW18" i="3"/>
  <c r="AS166" i="3"/>
  <c r="BX18" i="3"/>
  <c r="AT166" i="3"/>
  <c r="BY18" i="3"/>
  <c r="AU166" i="3"/>
  <c r="BZ18" i="3"/>
  <c r="AV166" i="3"/>
  <c r="CA18" i="3"/>
  <c r="AW166" i="3"/>
  <c r="CB18" i="3"/>
  <c r="CC23" i="3"/>
  <c r="R167" i="3"/>
  <c r="R166" i="3"/>
  <c r="AX166" i="3"/>
  <c r="CC18" i="3"/>
  <c r="CD23" i="3"/>
  <c r="S167" i="3"/>
  <c r="S166" i="3"/>
  <c r="AY166" i="3"/>
  <c r="CD18" i="3"/>
  <c r="CE23" i="3"/>
  <c r="T167" i="3"/>
  <c r="T166" i="3"/>
  <c r="AZ166" i="3"/>
  <c r="CE18" i="3"/>
  <c r="CF23" i="3"/>
  <c r="U167" i="3"/>
  <c r="U166" i="3"/>
  <c r="BA166" i="3"/>
  <c r="CF18" i="3"/>
  <c r="CG23" i="3"/>
  <c r="V167" i="3"/>
  <c r="V166" i="3"/>
  <c r="BB166" i="3"/>
  <c r="CG18" i="3"/>
  <c r="CH23" i="3"/>
  <c r="W167" i="3"/>
  <c r="W166" i="3"/>
  <c r="BC166" i="3"/>
  <c r="CH18" i="3"/>
  <c r="CI23" i="3"/>
  <c r="X167" i="3"/>
  <c r="X166" i="3"/>
  <c r="BD166" i="3"/>
  <c r="CI18" i="3"/>
  <c r="CJ23" i="3"/>
  <c r="Y167" i="3"/>
  <c r="Y166" i="3"/>
  <c r="BE166" i="3"/>
  <c r="CJ18" i="3"/>
  <c r="CK23" i="3"/>
  <c r="Z167" i="3"/>
  <c r="Z166" i="3"/>
  <c r="BF166" i="3"/>
  <c r="CK18" i="3"/>
  <c r="CL23" i="3"/>
  <c r="AA167" i="3"/>
  <c r="AA166" i="3"/>
  <c r="BG166" i="3"/>
  <c r="CL18" i="3"/>
  <c r="CM23" i="3"/>
  <c r="AB167" i="3"/>
  <c r="AB166" i="3"/>
  <c r="BH166" i="3"/>
  <c r="CM18" i="3"/>
  <c r="CN23" i="3"/>
  <c r="AC167" i="3"/>
  <c r="AC166" i="3"/>
  <c r="BI166" i="3"/>
  <c r="CN18" i="3"/>
  <c r="CO23" i="3"/>
  <c r="AD167" i="3"/>
  <c r="AD166" i="3"/>
  <c r="BJ166" i="3"/>
  <c r="CO18" i="3"/>
  <c r="CP23" i="3"/>
  <c r="AE167" i="3"/>
  <c r="AE166" i="3"/>
  <c r="BK166" i="3"/>
  <c r="CP18" i="3"/>
  <c r="CQ23" i="3"/>
  <c r="AF167" i="3"/>
  <c r="AF166" i="3"/>
  <c r="BL166" i="3"/>
  <c r="CQ18" i="3"/>
  <c r="BR23" i="3"/>
  <c r="G167" i="3"/>
  <c r="AM167" i="3"/>
  <c r="BR19" i="3"/>
  <c r="G166" i="3"/>
  <c r="AM166" i="3"/>
  <c r="BR18" i="3"/>
  <c r="BR28" i="3"/>
  <c r="G37" i="7"/>
  <c r="AM49" i="3"/>
  <c r="AM176" i="3"/>
  <c r="H36" i="7"/>
  <c r="H49" i="3"/>
  <c r="I36" i="7"/>
  <c r="I49" i="3"/>
  <c r="J36" i="7"/>
  <c r="J49" i="3"/>
  <c r="K36" i="7"/>
  <c r="K49" i="3"/>
  <c r="L36" i="7"/>
  <c r="L49" i="3"/>
  <c r="M36" i="7"/>
  <c r="M49" i="3"/>
  <c r="N36" i="7"/>
  <c r="N49" i="3"/>
  <c r="O36" i="7"/>
  <c r="O49" i="3"/>
  <c r="P36" i="7"/>
  <c r="P49" i="3"/>
  <c r="Q36" i="7"/>
  <c r="Q49" i="3"/>
  <c r="R36" i="7"/>
  <c r="R49" i="3"/>
  <c r="R175" i="3"/>
  <c r="S36" i="7"/>
  <c r="S49" i="3"/>
  <c r="S175" i="3"/>
  <c r="T36" i="7"/>
  <c r="T49" i="3"/>
  <c r="T175" i="3"/>
  <c r="U36" i="7"/>
  <c r="U49" i="3"/>
  <c r="U175" i="3"/>
  <c r="V36" i="7"/>
  <c r="V49" i="3"/>
  <c r="V175" i="3"/>
  <c r="W36" i="7"/>
  <c r="W49" i="3"/>
  <c r="W175" i="3"/>
  <c r="X36" i="7"/>
  <c r="X49" i="3"/>
  <c r="X175" i="3"/>
  <c r="Y36" i="7"/>
  <c r="Y49" i="3"/>
  <c r="Y175" i="3"/>
  <c r="Z36" i="7"/>
  <c r="Z49" i="3"/>
  <c r="Z175" i="3"/>
  <c r="AA36" i="7"/>
  <c r="AA49" i="3"/>
  <c r="AA175" i="3"/>
  <c r="AB36" i="7"/>
  <c r="AB49" i="3"/>
  <c r="AB175" i="3"/>
  <c r="AC36" i="7"/>
  <c r="AC49" i="3"/>
  <c r="AC175" i="3"/>
  <c r="AD36" i="7"/>
  <c r="AD49" i="3"/>
  <c r="AD175" i="3"/>
  <c r="AE36" i="7"/>
  <c r="AE49" i="3"/>
  <c r="AE175" i="3"/>
  <c r="AF36" i="7"/>
  <c r="AF49" i="3"/>
  <c r="AF175" i="3"/>
  <c r="G36" i="7"/>
  <c r="G49" i="3"/>
  <c r="G175" i="3"/>
  <c r="H33" i="7"/>
  <c r="H54" i="3"/>
  <c r="H50" i="3"/>
  <c r="I33" i="7"/>
  <c r="I54" i="3"/>
  <c r="I50" i="3"/>
  <c r="J33" i="7"/>
  <c r="J54" i="3"/>
  <c r="J50" i="3"/>
  <c r="K33" i="7"/>
  <c r="K54" i="3"/>
  <c r="K50" i="3"/>
  <c r="L33" i="7"/>
  <c r="L54" i="3"/>
  <c r="L50" i="3"/>
  <c r="M33" i="7"/>
  <c r="M54" i="3"/>
  <c r="M50" i="3"/>
  <c r="N33" i="7"/>
  <c r="N54" i="3"/>
  <c r="N50" i="3"/>
  <c r="O33" i="7"/>
  <c r="O54" i="3"/>
  <c r="O50" i="3"/>
  <c r="P33" i="7"/>
  <c r="P54" i="3"/>
  <c r="P50" i="3"/>
  <c r="AK73" i="10"/>
  <c r="AK56" i="10"/>
  <c r="Q33" i="7"/>
  <c r="Q54" i="3"/>
  <c r="Q50" i="3"/>
  <c r="R33" i="7"/>
  <c r="R54" i="3"/>
  <c r="R50" i="3"/>
  <c r="S33" i="7"/>
  <c r="S54" i="3"/>
  <c r="S50" i="3"/>
  <c r="T33" i="7"/>
  <c r="T54" i="3"/>
  <c r="T50" i="3"/>
  <c r="U33" i="7"/>
  <c r="U54" i="3"/>
  <c r="U50" i="3"/>
  <c r="V33" i="7"/>
  <c r="V54" i="3"/>
  <c r="V50" i="3"/>
  <c r="W33" i="7"/>
  <c r="W54" i="3"/>
  <c r="W50" i="3"/>
  <c r="X33" i="7"/>
  <c r="X54" i="3"/>
  <c r="X50" i="3"/>
  <c r="Y33" i="7"/>
  <c r="Y54" i="3"/>
  <c r="Y50" i="3"/>
  <c r="Z33" i="7"/>
  <c r="Z54" i="3"/>
  <c r="Z50" i="3"/>
  <c r="AA33" i="7"/>
  <c r="AA54" i="3"/>
  <c r="AA50" i="3"/>
  <c r="AB33" i="7"/>
  <c r="AB54" i="3"/>
  <c r="AB50" i="3"/>
  <c r="AC33" i="7"/>
  <c r="AC54" i="3"/>
  <c r="AC50" i="3"/>
  <c r="AD33" i="7"/>
  <c r="AD54" i="3"/>
  <c r="AD50" i="3"/>
  <c r="AE33" i="7"/>
  <c r="AE54" i="3"/>
  <c r="AE50" i="3"/>
  <c r="AF33" i="7"/>
  <c r="AF54" i="3"/>
  <c r="AF50" i="3"/>
  <c r="G33" i="7"/>
  <c r="G54" i="3"/>
  <c r="G34" i="7"/>
  <c r="AM54" i="3"/>
  <c r="AK68" i="10"/>
  <c r="AM101" i="10"/>
  <c r="AK51" i="10"/>
  <c r="AL101" i="10"/>
  <c r="AK34" i="10"/>
  <c r="AK101" i="10"/>
  <c r="AK80" i="10"/>
  <c r="AN100" i="10"/>
  <c r="AK64" i="10"/>
  <c r="AM100" i="10"/>
  <c r="AK47" i="10"/>
  <c r="AL100" i="10"/>
  <c r="AM96" i="10"/>
  <c r="AL96" i="10"/>
  <c r="F80" i="10"/>
  <c r="I100" i="10"/>
  <c r="F64" i="10"/>
  <c r="H100" i="10"/>
  <c r="F47" i="10"/>
  <c r="G100" i="10"/>
  <c r="H168" i="3"/>
  <c r="AN169" i="3"/>
  <c r="BS20" i="3"/>
  <c r="I168" i="3"/>
  <c r="AO169" i="3"/>
  <c r="BT20" i="3"/>
  <c r="J168" i="3"/>
  <c r="AP169" i="3"/>
  <c r="BU20" i="3"/>
  <c r="K168" i="3"/>
  <c r="AQ169" i="3"/>
  <c r="BV20" i="3"/>
  <c r="L168" i="3"/>
  <c r="AR169" i="3"/>
  <c r="BW20" i="3"/>
  <c r="M168" i="3"/>
  <c r="AS169" i="3"/>
  <c r="BX20" i="3"/>
  <c r="N168" i="3"/>
  <c r="AT169" i="3"/>
  <c r="BY20" i="3"/>
  <c r="O168" i="3"/>
  <c r="AU169" i="3"/>
  <c r="BZ20" i="3"/>
  <c r="P168" i="3"/>
  <c r="AV169" i="3"/>
  <c r="CA20" i="3"/>
  <c r="Q168" i="3"/>
  <c r="AW169" i="3"/>
  <c r="CB20" i="3"/>
  <c r="R168" i="3"/>
  <c r="AX169" i="3"/>
  <c r="CC20" i="3"/>
  <c r="S168" i="3"/>
  <c r="AY169" i="3"/>
  <c r="CD20" i="3"/>
  <c r="T168" i="3"/>
  <c r="AZ169" i="3"/>
  <c r="CE20" i="3"/>
  <c r="U168" i="3"/>
  <c r="BA169" i="3"/>
  <c r="CF20" i="3"/>
  <c r="V168" i="3"/>
  <c r="BB169" i="3"/>
  <c r="CG20" i="3"/>
  <c r="W168" i="3"/>
  <c r="BC169" i="3"/>
  <c r="CH20" i="3"/>
  <c r="X168" i="3"/>
  <c r="BD169" i="3"/>
  <c r="CI20" i="3"/>
  <c r="Y168" i="3"/>
  <c r="BE169" i="3"/>
  <c r="CJ20" i="3"/>
  <c r="Z168" i="3"/>
  <c r="BF169" i="3"/>
  <c r="CK20" i="3"/>
  <c r="AA168" i="3"/>
  <c r="BG169" i="3"/>
  <c r="CL20" i="3"/>
  <c r="AB168" i="3"/>
  <c r="BH169" i="3"/>
  <c r="CM20" i="3"/>
  <c r="AC168" i="3"/>
  <c r="BI169" i="3"/>
  <c r="CN20" i="3"/>
  <c r="AD168" i="3"/>
  <c r="BJ169" i="3"/>
  <c r="CO20" i="3"/>
  <c r="AE168" i="3"/>
  <c r="BK169" i="3"/>
  <c r="CP20" i="3"/>
  <c r="AF168" i="3"/>
  <c r="BL169" i="3"/>
  <c r="CQ20" i="3"/>
  <c r="H169" i="3"/>
  <c r="AN170" i="3"/>
  <c r="BS21" i="3"/>
  <c r="H170" i="3"/>
  <c r="AN171" i="3"/>
  <c r="BS22" i="3"/>
  <c r="I170" i="3"/>
  <c r="AO171" i="3"/>
  <c r="BT22" i="3"/>
  <c r="J170" i="3"/>
  <c r="AP171" i="3"/>
  <c r="BU22" i="3"/>
  <c r="K170" i="3"/>
  <c r="AQ171" i="3"/>
  <c r="BV22" i="3"/>
  <c r="L170" i="3"/>
  <c r="AR171" i="3"/>
  <c r="BW22" i="3"/>
  <c r="M170" i="3"/>
  <c r="AS171" i="3"/>
  <c r="BX22" i="3"/>
  <c r="N170" i="3"/>
  <c r="AT171" i="3"/>
  <c r="BY22" i="3"/>
  <c r="O170" i="3"/>
  <c r="AU171" i="3"/>
  <c r="BZ22" i="3"/>
  <c r="P170" i="3"/>
  <c r="AV171" i="3"/>
  <c r="CA22" i="3"/>
  <c r="Q170" i="3"/>
  <c r="AW171" i="3"/>
  <c r="CB22" i="3"/>
  <c r="R170" i="3"/>
  <c r="AX171" i="3"/>
  <c r="CC22" i="3"/>
  <c r="S170" i="3"/>
  <c r="AY171" i="3"/>
  <c r="CD22" i="3"/>
  <c r="T170" i="3"/>
  <c r="AZ171" i="3"/>
  <c r="CE22" i="3"/>
  <c r="U170" i="3"/>
  <c r="BA171" i="3"/>
  <c r="CF22" i="3"/>
  <c r="V170" i="3"/>
  <c r="BB171" i="3"/>
  <c r="CG22" i="3"/>
  <c r="W170" i="3"/>
  <c r="BC171" i="3"/>
  <c r="CH22" i="3"/>
  <c r="X170" i="3"/>
  <c r="BD171" i="3"/>
  <c r="CI22" i="3"/>
  <c r="Y170" i="3"/>
  <c r="BE171" i="3"/>
  <c r="CJ22" i="3"/>
  <c r="Z170" i="3"/>
  <c r="BF171" i="3"/>
  <c r="CK22" i="3"/>
  <c r="AA170" i="3"/>
  <c r="BG171" i="3"/>
  <c r="CL22" i="3"/>
  <c r="AB170" i="3"/>
  <c r="BH171" i="3"/>
  <c r="CM22" i="3"/>
  <c r="AC170" i="3"/>
  <c r="BI171" i="3"/>
  <c r="CN22" i="3"/>
  <c r="AD170" i="3"/>
  <c r="BJ171" i="3"/>
  <c r="CO22" i="3"/>
  <c r="AE170" i="3"/>
  <c r="BK171" i="3"/>
  <c r="CP22" i="3"/>
  <c r="AF170" i="3"/>
  <c r="BL171" i="3"/>
  <c r="CQ22" i="3"/>
  <c r="G170" i="3"/>
  <c r="AM171" i="3"/>
  <c r="BR22" i="3"/>
  <c r="BR27" i="3"/>
  <c r="G169" i="3"/>
  <c r="AM170" i="3"/>
  <c r="BR21" i="3"/>
  <c r="BR26" i="3"/>
  <c r="G168" i="3"/>
  <c r="AM169" i="3"/>
  <c r="BR20" i="3"/>
  <c r="BR25" i="3"/>
  <c r="AM175" i="3"/>
  <c r="AM174" i="3"/>
  <c r="AM173" i="3"/>
  <c r="H172" i="3"/>
  <c r="I172" i="3"/>
  <c r="J172" i="3"/>
  <c r="K172" i="3"/>
  <c r="L172" i="3"/>
  <c r="M172" i="3"/>
  <c r="N172" i="3"/>
  <c r="O172" i="3"/>
  <c r="P172" i="3"/>
  <c r="Q172" i="3"/>
  <c r="R51" i="3"/>
  <c r="R55" i="3"/>
  <c r="R52" i="3"/>
  <c r="R172" i="3"/>
  <c r="S51" i="3"/>
  <c r="S55" i="3"/>
  <c r="S52" i="3"/>
  <c r="S172" i="3"/>
  <c r="T51" i="3"/>
  <c r="T55" i="3"/>
  <c r="T52" i="3"/>
  <c r="T172" i="3"/>
  <c r="U51" i="3"/>
  <c r="U55" i="3"/>
  <c r="U52" i="3"/>
  <c r="U172" i="3"/>
  <c r="V51" i="3"/>
  <c r="V55" i="3"/>
  <c r="V52" i="3"/>
  <c r="V172" i="3"/>
  <c r="W51" i="3"/>
  <c r="W55" i="3"/>
  <c r="W52" i="3"/>
  <c r="W172" i="3"/>
  <c r="X51" i="3"/>
  <c r="X55" i="3"/>
  <c r="X52" i="3"/>
  <c r="X172" i="3"/>
  <c r="Y51" i="3"/>
  <c r="Y55" i="3"/>
  <c r="Y52" i="3"/>
  <c r="Y172" i="3"/>
  <c r="Z51" i="3"/>
  <c r="Z55" i="3"/>
  <c r="Z52" i="3"/>
  <c r="Z172" i="3"/>
  <c r="AA51" i="3"/>
  <c r="AA55" i="3"/>
  <c r="AA52" i="3"/>
  <c r="AA172" i="3"/>
  <c r="AB51" i="3"/>
  <c r="AB55" i="3"/>
  <c r="AB52" i="3"/>
  <c r="AB172" i="3"/>
  <c r="AC51" i="3"/>
  <c r="AC55" i="3"/>
  <c r="AC52" i="3"/>
  <c r="AC172" i="3"/>
  <c r="AD51" i="3"/>
  <c r="AD55" i="3"/>
  <c r="AD52" i="3"/>
  <c r="AD172" i="3"/>
  <c r="AE51" i="3"/>
  <c r="AE55" i="3"/>
  <c r="AE52" i="3"/>
  <c r="AE172" i="3"/>
  <c r="AF51" i="3"/>
  <c r="AF55" i="3"/>
  <c r="AF52" i="3"/>
  <c r="AF172" i="3"/>
  <c r="H173" i="3"/>
  <c r="H174" i="3"/>
  <c r="I174" i="3"/>
  <c r="J174" i="3"/>
  <c r="K174" i="3"/>
  <c r="L174" i="3"/>
  <c r="M174" i="3"/>
  <c r="N174" i="3"/>
  <c r="O174" i="3"/>
  <c r="P174" i="3"/>
  <c r="Q174" i="3"/>
  <c r="R174" i="3"/>
  <c r="S174" i="3"/>
  <c r="T174" i="3"/>
  <c r="U174" i="3"/>
  <c r="V174" i="3"/>
  <c r="W174" i="3"/>
  <c r="X174" i="3"/>
  <c r="Y174" i="3"/>
  <c r="Z174" i="3"/>
  <c r="AA174" i="3"/>
  <c r="AB174" i="3"/>
  <c r="AC174" i="3"/>
  <c r="AD174" i="3"/>
  <c r="AE174" i="3"/>
  <c r="AF174" i="3"/>
  <c r="G51" i="3"/>
  <c r="G174" i="3"/>
  <c r="G173" i="3"/>
  <c r="G172" i="3"/>
  <c r="I114" i="3"/>
  <c r="J114" i="3"/>
  <c r="K114" i="3"/>
  <c r="L114" i="3"/>
  <c r="M114" i="3"/>
  <c r="N114" i="3"/>
  <c r="O114" i="3"/>
  <c r="P114" i="3"/>
  <c r="Q114" i="3"/>
  <c r="R114" i="3"/>
  <c r="S114" i="3"/>
  <c r="T114" i="3"/>
  <c r="U114" i="3"/>
  <c r="V114" i="3"/>
  <c r="W114" i="3"/>
  <c r="X114" i="3"/>
  <c r="Y114" i="3"/>
  <c r="Z114" i="3"/>
  <c r="AA114" i="3"/>
  <c r="AB114" i="3"/>
  <c r="AC114" i="3"/>
  <c r="AD114" i="3"/>
  <c r="AE114" i="3"/>
  <c r="AF114" i="3"/>
  <c r="H114" i="3"/>
  <c r="AX51" i="3"/>
  <c r="AX55" i="3"/>
  <c r="AX52" i="3"/>
  <c r="AY51" i="3"/>
  <c r="AY55" i="3"/>
  <c r="AY52" i="3"/>
  <c r="AZ51" i="3"/>
  <c r="AZ55" i="3"/>
  <c r="AZ52" i="3"/>
  <c r="BA51" i="3"/>
  <c r="BA55" i="3"/>
  <c r="BA52" i="3"/>
  <c r="BB51" i="3"/>
  <c r="BB55" i="3"/>
  <c r="BB52" i="3"/>
  <c r="BC51" i="3"/>
  <c r="BC55" i="3"/>
  <c r="BC52" i="3"/>
  <c r="BD51" i="3"/>
  <c r="BD55" i="3"/>
  <c r="BD52" i="3"/>
  <c r="BE51" i="3"/>
  <c r="BE55" i="3"/>
  <c r="BE52" i="3"/>
  <c r="BF51" i="3"/>
  <c r="BF55" i="3"/>
  <c r="BF52" i="3"/>
  <c r="BG51" i="3"/>
  <c r="BG55" i="3"/>
  <c r="BG52" i="3"/>
  <c r="BH51" i="3"/>
  <c r="BH55" i="3"/>
  <c r="BH52" i="3"/>
  <c r="BI51" i="3"/>
  <c r="BI55" i="3"/>
  <c r="BI52" i="3"/>
  <c r="BJ51" i="3"/>
  <c r="BJ55" i="3"/>
  <c r="BJ52" i="3"/>
  <c r="BK51" i="3"/>
  <c r="BK55" i="3"/>
  <c r="BK52" i="3"/>
  <c r="AM55" i="3"/>
  <c r="AM32" i="3"/>
  <c r="AM34" i="3"/>
  <c r="AF167" i="7"/>
  <c r="AE167" i="7"/>
  <c r="AD167" i="7"/>
  <c r="AC167" i="7"/>
  <c r="AB167" i="7"/>
  <c r="AA167" i="7"/>
  <c r="Z167" i="7"/>
  <c r="Y167" i="7"/>
  <c r="X167" i="7"/>
  <c r="W167" i="7"/>
  <c r="V167" i="7"/>
  <c r="U167" i="7"/>
  <c r="T167" i="7"/>
  <c r="S167" i="7"/>
  <c r="R167" i="7"/>
  <c r="Q167" i="7"/>
  <c r="P167" i="7"/>
  <c r="O167" i="7"/>
  <c r="N167" i="7"/>
  <c r="M167" i="7"/>
  <c r="L167" i="7"/>
  <c r="K167" i="7"/>
  <c r="J167" i="7"/>
  <c r="I167" i="7"/>
  <c r="H167" i="7"/>
  <c r="G167" i="7"/>
  <c r="AF166" i="7"/>
  <c r="AE166" i="7"/>
  <c r="AD166" i="7"/>
  <c r="AC166" i="7"/>
  <c r="AB166" i="7"/>
  <c r="AA166" i="7"/>
  <c r="Z166" i="7"/>
  <c r="Y166" i="7"/>
  <c r="X166" i="7"/>
  <c r="W166" i="7"/>
  <c r="V166" i="7"/>
  <c r="U166" i="7"/>
  <c r="T166" i="7"/>
  <c r="S166" i="7"/>
  <c r="R166" i="7"/>
  <c r="Q166" i="7"/>
  <c r="P166" i="7"/>
  <c r="O166" i="7"/>
  <c r="N166" i="7"/>
  <c r="M166" i="7"/>
  <c r="L166" i="7"/>
  <c r="K166" i="7"/>
  <c r="J166" i="7"/>
  <c r="I166" i="7"/>
  <c r="H166" i="7"/>
  <c r="G166" i="7"/>
  <c r="AH67" i="8"/>
  <c r="AF165" i="7"/>
  <c r="AG67" i="8"/>
  <c r="AE165" i="7"/>
  <c r="AF67" i="8"/>
  <c r="AD165" i="7"/>
  <c r="AC165" i="7"/>
  <c r="AB165" i="7"/>
  <c r="AA165" i="7"/>
  <c r="Z165" i="7"/>
  <c r="Y165" i="7"/>
  <c r="X165" i="7"/>
  <c r="W165" i="7"/>
  <c r="V165" i="7"/>
  <c r="U165" i="7"/>
  <c r="T165" i="7"/>
  <c r="S165" i="7"/>
  <c r="R165" i="7"/>
  <c r="Q165" i="7"/>
  <c r="P165" i="7"/>
  <c r="O165" i="7"/>
  <c r="N165" i="7"/>
  <c r="M165" i="7"/>
  <c r="L165" i="7"/>
  <c r="K165" i="7"/>
  <c r="J165" i="7"/>
  <c r="I165" i="7"/>
  <c r="H165" i="7"/>
  <c r="G165" i="7"/>
  <c r="AH62" i="8"/>
  <c r="AF164" i="7"/>
  <c r="AG62" i="8"/>
  <c r="AE164" i="7"/>
  <c r="AF62" i="8"/>
  <c r="AD164" i="7"/>
  <c r="AE62" i="8"/>
  <c r="AC164" i="7"/>
  <c r="AB164" i="7"/>
  <c r="AA164" i="7"/>
  <c r="Z164" i="7"/>
  <c r="Y164" i="7"/>
  <c r="X164" i="7"/>
  <c r="W164" i="7"/>
  <c r="V164" i="7"/>
  <c r="U164" i="7"/>
  <c r="T164" i="7"/>
  <c r="S164" i="7"/>
  <c r="R164" i="7"/>
  <c r="Q164" i="7"/>
  <c r="P164" i="7"/>
  <c r="O164" i="7"/>
  <c r="N164" i="7"/>
  <c r="M164" i="7"/>
  <c r="L164" i="7"/>
  <c r="K164" i="7"/>
  <c r="J164" i="7"/>
  <c r="I164" i="7"/>
  <c r="H164" i="7"/>
  <c r="G164" i="7"/>
  <c r="AH57" i="8"/>
  <c r="AF163" i="7"/>
  <c r="AG57" i="8"/>
  <c r="AE163" i="7"/>
  <c r="AF57" i="8"/>
  <c r="AD163" i="7"/>
  <c r="AE57" i="8"/>
  <c r="AC163" i="7"/>
  <c r="AB163" i="7"/>
  <c r="AA163" i="7"/>
  <c r="Z163" i="7"/>
  <c r="Y163" i="7"/>
  <c r="X163" i="7"/>
  <c r="W163" i="7"/>
  <c r="V163" i="7"/>
  <c r="U163" i="7"/>
  <c r="T163" i="7"/>
  <c r="S163" i="7"/>
  <c r="R163" i="7"/>
  <c r="Q163" i="7"/>
  <c r="P163" i="7"/>
  <c r="O163" i="7"/>
  <c r="N163" i="7"/>
  <c r="M163" i="7"/>
  <c r="L163" i="7"/>
  <c r="K163" i="7"/>
  <c r="J163" i="7"/>
  <c r="I163" i="7"/>
  <c r="H163" i="7"/>
  <c r="G163" i="7"/>
  <c r="G150" i="7"/>
  <c r="F148" i="7"/>
  <c r="F161" i="7"/>
  <c r="G142" i="7"/>
  <c r="F140" i="7"/>
  <c r="F166" i="7"/>
  <c r="F132" i="7"/>
  <c r="F159" i="7"/>
  <c r="F124" i="7"/>
  <c r="F164" i="7"/>
  <c r="F116" i="7"/>
  <c r="F157" i="7"/>
  <c r="R102" i="7"/>
  <c r="AF99" i="7"/>
  <c r="AE99" i="7"/>
  <c r="AD99" i="7"/>
  <c r="AC99" i="7"/>
  <c r="AB99" i="7"/>
  <c r="AA99" i="7"/>
  <c r="Z99" i="7"/>
  <c r="Y99" i="7"/>
  <c r="X99" i="7"/>
  <c r="W99" i="7"/>
  <c r="V99" i="7"/>
  <c r="U99" i="7"/>
  <c r="T99" i="7"/>
  <c r="S99" i="7"/>
  <c r="R99" i="7"/>
  <c r="G99" i="7"/>
  <c r="AH75" i="8"/>
  <c r="AG75" i="8"/>
  <c r="AF75" i="8"/>
  <c r="AE75" i="8"/>
  <c r="AD75" i="8"/>
  <c r="AC75" i="8"/>
  <c r="AB75" i="8"/>
  <c r="AA75" i="8"/>
  <c r="Z75" i="8"/>
  <c r="Y75" i="8"/>
  <c r="X75" i="8"/>
  <c r="W75" i="8"/>
  <c r="V75" i="8"/>
  <c r="U75" i="8"/>
  <c r="T75" i="8"/>
  <c r="S75" i="8"/>
  <c r="R75" i="8"/>
  <c r="Q75" i="8"/>
  <c r="P75" i="8"/>
  <c r="O75" i="8"/>
  <c r="N75" i="8"/>
  <c r="M75" i="8"/>
  <c r="L75" i="8"/>
  <c r="K75" i="8"/>
  <c r="J75" i="8"/>
  <c r="I75" i="8"/>
  <c r="AH70" i="8"/>
  <c r="AG70" i="8"/>
  <c r="AF70" i="8"/>
  <c r="AE70" i="8"/>
  <c r="AD70" i="8"/>
  <c r="AC70" i="8"/>
  <c r="AB70" i="8"/>
  <c r="AA70" i="8"/>
  <c r="Z70" i="8"/>
  <c r="Y70" i="8"/>
  <c r="X70" i="8"/>
  <c r="W70" i="8"/>
  <c r="V70" i="8"/>
  <c r="U70" i="8"/>
  <c r="T70" i="8"/>
  <c r="S70" i="8"/>
  <c r="R70" i="8"/>
  <c r="Q70" i="8"/>
  <c r="P70" i="8"/>
  <c r="O70" i="8"/>
  <c r="N70" i="8"/>
  <c r="M70" i="8"/>
  <c r="L70" i="8"/>
  <c r="K70" i="8"/>
  <c r="J70" i="8"/>
  <c r="I70" i="8"/>
  <c r="AH65" i="8"/>
  <c r="AG65" i="8"/>
  <c r="AF65" i="8"/>
  <c r="AE65" i="8"/>
  <c r="AD65" i="8"/>
  <c r="AC65" i="8"/>
  <c r="AB65" i="8"/>
  <c r="AA65" i="8"/>
  <c r="Z65" i="8"/>
  <c r="Y65" i="8"/>
  <c r="X65" i="8"/>
  <c r="W65" i="8"/>
  <c r="V65" i="8"/>
  <c r="U65" i="8"/>
  <c r="T65" i="8"/>
  <c r="S65" i="8"/>
  <c r="R65" i="8"/>
  <c r="Q65" i="8"/>
  <c r="P65" i="8"/>
  <c r="O65" i="8"/>
  <c r="N65" i="8"/>
  <c r="M65" i="8"/>
  <c r="L65" i="8"/>
  <c r="K65" i="8"/>
  <c r="J65" i="8"/>
  <c r="I65" i="8"/>
  <c r="AH60" i="8"/>
  <c r="AG60" i="8"/>
  <c r="AF60" i="8"/>
  <c r="AE60" i="8"/>
  <c r="AD60" i="8"/>
  <c r="AC60" i="8"/>
  <c r="AB60" i="8"/>
  <c r="AA60" i="8"/>
  <c r="Z60" i="8"/>
  <c r="Y60" i="8"/>
  <c r="X60" i="8"/>
  <c r="W60" i="8"/>
  <c r="V60" i="8"/>
  <c r="U60" i="8"/>
  <c r="T60" i="8"/>
  <c r="S60" i="8"/>
  <c r="R60" i="8"/>
  <c r="Q60" i="8"/>
  <c r="P60" i="8"/>
  <c r="O60" i="8"/>
  <c r="N60" i="8"/>
  <c r="M60" i="8"/>
  <c r="L60" i="8"/>
  <c r="K60" i="8"/>
  <c r="J60" i="8"/>
  <c r="I60" i="8"/>
  <c r="AH55" i="8"/>
  <c r="AG55" i="8"/>
  <c r="AF55" i="8"/>
  <c r="AE55" i="8"/>
  <c r="AD55" i="8"/>
  <c r="AC55" i="8"/>
  <c r="AB55" i="8"/>
  <c r="AA55" i="8"/>
  <c r="Z55" i="8"/>
  <c r="Y55" i="8"/>
  <c r="X55" i="8"/>
  <c r="W55" i="8"/>
  <c r="V55" i="8"/>
  <c r="U55" i="8"/>
  <c r="T55" i="8"/>
  <c r="S55" i="8"/>
  <c r="R55" i="8"/>
  <c r="Q55" i="8"/>
  <c r="P55" i="8"/>
  <c r="O55" i="8"/>
  <c r="N55" i="8"/>
  <c r="M55" i="8"/>
  <c r="L55" i="8"/>
  <c r="K55" i="8"/>
  <c r="J55" i="8"/>
  <c r="I55" i="8"/>
  <c r="AG25" i="8"/>
  <c r="AI171" i="3"/>
  <c r="C170" i="3"/>
  <c r="AI169" i="3"/>
  <c r="C168" i="3"/>
  <c r="AI167" i="3"/>
  <c r="C167" i="3"/>
  <c r="AI166" i="3"/>
  <c r="C166" i="3"/>
  <c r="AL161" i="3"/>
  <c r="F161" i="3"/>
  <c r="AM159" i="3"/>
  <c r="G159" i="3"/>
  <c r="AM134" i="3"/>
  <c r="AM155" i="3"/>
  <c r="G134" i="3"/>
  <c r="G155" i="3"/>
  <c r="AM133" i="3"/>
  <c r="G133" i="3"/>
  <c r="BL125" i="3"/>
  <c r="BK125" i="3"/>
  <c r="BJ125" i="3"/>
  <c r="BI125" i="3"/>
  <c r="BH125" i="3"/>
  <c r="BG125" i="3"/>
  <c r="BF125" i="3"/>
  <c r="BE125" i="3"/>
  <c r="BD125" i="3"/>
  <c r="BC125" i="3"/>
  <c r="BB125" i="3"/>
  <c r="BA125" i="3"/>
  <c r="AZ125" i="3"/>
  <c r="AY125" i="3"/>
  <c r="AX125" i="3"/>
  <c r="AM125" i="3"/>
  <c r="AM177" i="3"/>
  <c r="G125" i="3"/>
  <c r="G176" i="3"/>
  <c r="AM122" i="3"/>
  <c r="BL114" i="3"/>
  <c r="BK114" i="3"/>
  <c r="BJ114" i="3"/>
  <c r="BI114" i="3"/>
  <c r="BH114" i="3"/>
  <c r="BG114" i="3"/>
  <c r="BF114" i="3"/>
  <c r="BE114" i="3"/>
  <c r="BD114" i="3"/>
  <c r="BC114" i="3"/>
  <c r="BB114" i="3"/>
  <c r="BA114" i="3"/>
  <c r="AZ114" i="3"/>
  <c r="AY114" i="3"/>
  <c r="AX114" i="3"/>
  <c r="AW114" i="3"/>
  <c r="AV114" i="3"/>
  <c r="AU114" i="3"/>
  <c r="AT114" i="3"/>
  <c r="AS114" i="3"/>
  <c r="AR114" i="3"/>
  <c r="AQ114" i="3"/>
  <c r="AP114" i="3"/>
  <c r="AO114" i="3"/>
  <c r="AN114" i="3"/>
  <c r="BL113" i="3"/>
  <c r="BK113" i="3"/>
  <c r="BJ113" i="3"/>
  <c r="BI113" i="3"/>
  <c r="BH113" i="3"/>
  <c r="BG113" i="3"/>
  <c r="BF113" i="3"/>
  <c r="BE113" i="3"/>
  <c r="BD113" i="3"/>
  <c r="BC113" i="3"/>
  <c r="BB113" i="3"/>
  <c r="BA113" i="3"/>
  <c r="AZ113" i="3"/>
  <c r="AY113" i="3"/>
  <c r="AX113" i="3"/>
  <c r="AW113" i="3"/>
  <c r="AV113" i="3"/>
  <c r="AU113" i="3"/>
  <c r="AT113" i="3"/>
  <c r="AS113" i="3"/>
  <c r="AR113" i="3"/>
  <c r="AQ113" i="3"/>
  <c r="AP113" i="3"/>
  <c r="AO113" i="3"/>
  <c r="AN113" i="3"/>
  <c r="BL102" i="3"/>
  <c r="BK102" i="3"/>
  <c r="BJ102" i="3"/>
  <c r="BI102" i="3"/>
  <c r="BH102" i="3"/>
  <c r="BG102" i="3"/>
  <c r="BF102" i="3"/>
  <c r="BE102" i="3"/>
  <c r="BD102" i="3"/>
  <c r="BC102" i="3"/>
  <c r="BB102" i="3"/>
  <c r="BA102" i="3"/>
  <c r="AZ102" i="3"/>
  <c r="BL101" i="3"/>
  <c r="BK101" i="3"/>
  <c r="BJ101" i="3"/>
  <c r="BI101" i="3"/>
  <c r="BH101" i="3"/>
  <c r="BG101" i="3"/>
  <c r="BF101" i="3"/>
  <c r="BE101" i="3"/>
  <c r="BD101" i="3"/>
  <c r="BC101" i="3"/>
  <c r="BB101" i="3"/>
  <c r="BA101" i="3"/>
  <c r="AZ101" i="3"/>
  <c r="AY101" i="3"/>
  <c r="BL100" i="3"/>
  <c r="BK100" i="3"/>
  <c r="BJ100" i="3"/>
  <c r="BI100" i="3"/>
  <c r="BH100" i="3"/>
  <c r="BG100" i="3"/>
  <c r="BF100" i="3"/>
  <c r="BE100" i="3"/>
  <c r="BD100" i="3"/>
  <c r="BC100" i="3"/>
  <c r="BB100" i="3"/>
  <c r="BA100" i="3"/>
  <c r="AZ100" i="3"/>
  <c r="AY100" i="3"/>
  <c r="AX100" i="3"/>
  <c r="BL99" i="3"/>
  <c r="BK99" i="3"/>
  <c r="BJ99" i="3"/>
  <c r="BI99" i="3"/>
  <c r="BH99" i="3"/>
  <c r="BG99" i="3"/>
  <c r="BF99" i="3"/>
  <c r="BE99" i="3"/>
  <c r="BD99" i="3"/>
  <c r="BC99" i="3"/>
  <c r="BB99" i="3"/>
  <c r="BA99" i="3"/>
  <c r="AZ99" i="3"/>
  <c r="AY99" i="3"/>
  <c r="AX99" i="3"/>
  <c r="AW99" i="3"/>
  <c r="BL98" i="3"/>
  <c r="BK98" i="3"/>
  <c r="BJ98" i="3"/>
  <c r="BI98" i="3"/>
  <c r="BH98" i="3"/>
  <c r="BG98" i="3"/>
  <c r="BF98" i="3"/>
  <c r="BE98" i="3"/>
  <c r="BD98" i="3"/>
  <c r="BC98" i="3"/>
  <c r="BB98" i="3"/>
  <c r="BA98" i="3"/>
  <c r="AZ98" i="3"/>
  <c r="AY98" i="3"/>
  <c r="AX98" i="3"/>
  <c r="AW98" i="3"/>
  <c r="AV98" i="3"/>
  <c r="BL97" i="3"/>
  <c r="BK97" i="3"/>
  <c r="BJ97" i="3"/>
  <c r="BI97" i="3"/>
  <c r="BH97" i="3"/>
  <c r="BG97" i="3"/>
  <c r="BF97" i="3"/>
  <c r="BE97" i="3"/>
  <c r="BD97" i="3"/>
  <c r="BC97" i="3"/>
  <c r="BB97" i="3"/>
  <c r="BA97" i="3"/>
  <c r="AZ97" i="3"/>
  <c r="AY97" i="3"/>
  <c r="AX97" i="3"/>
  <c r="AW97" i="3"/>
  <c r="AV97" i="3"/>
  <c r="AU97" i="3"/>
  <c r="BL96" i="3"/>
  <c r="BK96" i="3"/>
  <c r="BJ96" i="3"/>
  <c r="BI96" i="3"/>
  <c r="BH96" i="3"/>
  <c r="BG96" i="3"/>
  <c r="BF96" i="3"/>
  <c r="BE96" i="3"/>
  <c r="BD96" i="3"/>
  <c r="BC96" i="3"/>
  <c r="BB96" i="3"/>
  <c r="BA96" i="3"/>
  <c r="AZ96" i="3"/>
  <c r="AY96" i="3"/>
  <c r="AX96" i="3"/>
  <c r="AW96" i="3"/>
  <c r="AV96" i="3"/>
  <c r="AU96" i="3"/>
  <c r="AT96" i="3"/>
  <c r="BL95" i="3"/>
  <c r="BK95" i="3"/>
  <c r="BJ95" i="3"/>
  <c r="BI95" i="3"/>
  <c r="BH95" i="3"/>
  <c r="BG95" i="3"/>
  <c r="BF95" i="3"/>
  <c r="BE95" i="3"/>
  <c r="BD95" i="3"/>
  <c r="BC95" i="3"/>
  <c r="BB95" i="3"/>
  <c r="BA95" i="3"/>
  <c r="AZ95" i="3"/>
  <c r="AY95" i="3"/>
  <c r="AX95" i="3"/>
  <c r="AW95" i="3"/>
  <c r="AV95" i="3"/>
  <c r="AU95" i="3"/>
  <c r="AT95" i="3"/>
  <c r="AS95" i="3"/>
  <c r="BL94" i="3"/>
  <c r="BK94" i="3"/>
  <c r="BJ94" i="3"/>
  <c r="BI94" i="3"/>
  <c r="BH94" i="3"/>
  <c r="BG94" i="3"/>
  <c r="BF94" i="3"/>
  <c r="BE94" i="3"/>
  <c r="BD94" i="3"/>
  <c r="BC94" i="3"/>
  <c r="BB94" i="3"/>
  <c r="BA94" i="3"/>
  <c r="AZ94" i="3"/>
  <c r="AY94" i="3"/>
  <c r="AX94" i="3"/>
  <c r="AW94" i="3"/>
  <c r="AV94" i="3"/>
  <c r="AU94" i="3"/>
  <c r="AT94" i="3"/>
  <c r="AS94" i="3"/>
  <c r="AR94" i="3"/>
  <c r="BL93" i="3"/>
  <c r="BK93" i="3"/>
  <c r="BJ93" i="3"/>
  <c r="BI93" i="3"/>
  <c r="BH93" i="3"/>
  <c r="BG93" i="3"/>
  <c r="BF93" i="3"/>
  <c r="BE93" i="3"/>
  <c r="BD93" i="3"/>
  <c r="BC93" i="3"/>
  <c r="BB93" i="3"/>
  <c r="BA93" i="3"/>
  <c r="AZ93" i="3"/>
  <c r="AY93" i="3"/>
  <c r="AX93" i="3"/>
  <c r="AW93" i="3"/>
  <c r="AV93" i="3"/>
  <c r="AU93" i="3"/>
  <c r="AT93" i="3"/>
  <c r="AS93" i="3"/>
  <c r="AR93" i="3"/>
  <c r="AQ93" i="3"/>
  <c r="BL92" i="3"/>
  <c r="BK92" i="3"/>
  <c r="BJ92" i="3"/>
  <c r="BI92" i="3"/>
  <c r="BH92" i="3"/>
  <c r="BG92" i="3"/>
  <c r="BF92" i="3"/>
  <c r="BE92" i="3"/>
  <c r="BD92" i="3"/>
  <c r="BC92" i="3"/>
  <c r="BB92" i="3"/>
  <c r="BA92" i="3"/>
  <c r="AZ92" i="3"/>
  <c r="BL89" i="3"/>
  <c r="AF89" i="3"/>
  <c r="BL88" i="3"/>
  <c r="AF88" i="3"/>
  <c r="AF75" i="3"/>
  <c r="AE75" i="3"/>
  <c r="AD75" i="3"/>
  <c r="AC75" i="3"/>
  <c r="AB75" i="3"/>
  <c r="AA75" i="3"/>
  <c r="Z75" i="3"/>
  <c r="Y75" i="3"/>
  <c r="X75" i="3"/>
  <c r="W75" i="3"/>
  <c r="V75" i="3"/>
  <c r="U75" i="3"/>
  <c r="T75" i="3"/>
  <c r="S75" i="3"/>
  <c r="R75" i="3"/>
  <c r="G60" i="3"/>
  <c r="H60" i="3"/>
  <c r="I60" i="3"/>
  <c r="BR48" i="3"/>
  <c r="BR47" i="3"/>
  <c r="BR46" i="3"/>
  <c r="BR45" i="3"/>
  <c r="BS41" i="3"/>
  <c r="BR41" i="3"/>
  <c r="CQ34" i="3"/>
  <c r="CP34" i="3"/>
  <c r="CO34" i="3"/>
  <c r="CN34" i="3"/>
  <c r="CM34" i="3"/>
  <c r="CL34" i="3"/>
  <c r="CK34" i="3"/>
  <c r="CJ34" i="3"/>
  <c r="CI34" i="3"/>
  <c r="CH34" i="3"/>
  <c r="CG34" i="3"/>
  <c r="CF34" i="3"/>
  <c r="CE34" i="3"/>
  <c r="CD34" i="3"/>
  <c r="CC34" i="3"/>
  <c r="CB34" i="3"/>
  <c r="CA34" i="3"/>
  <c r="BZ34" i="3"/>
  <c r="BY34" i="3"/>
  <c r="BX34" i="3"/>
  <c r="BW34" i="3"/>
  <c r="BV34" i="3"/>
  <c r="BU34" i="3"/>
  <c r="BT34" i="3"/>
  <c r="BS34" i="3"/>
  <c r="BR34" i="3"/>
  <c r="BR29" i="3"/>
  <c r="BR12" i="3"/>
  <c r="BR11" i="3"/>
  <c r="AN11" i="3"/>
  <c r="AO11" i="3"/>
  <c r="AP11" i="3"/>
  <c r="AQ11" i="3"/>
  <c r="AR11" i="3"/>
  <c r="AS11" i="3"/>
  <c r="AT11" i="3"/>
  <c r="AU11" i="3"/>
  <c r="AV11" i="3"/>
  <c r="AW11" i="3"/>
  <c r="H11" i="3"/>
  <c r="I11" i="3"/>
  <c r="J11" i="3"/>
  <c r="K11" i="3"/>
  <c r="L11" i="3"/>
  <c r="M11" i="3"/>
  <c r="N11" i="3"/>
  <c r="O11" i="3"/>
  <c r="P11" i="3"/>
  <c r="Q11" i="3"/>
  <c r="BR10" i="3"/>
  <c r="CQ6" i="3"/>
  <c r="CP6" i="3"/>
  <c r="CO6" i="3"/>
  <c r="CN6" i="3"/>
  <c r="CM6" i="3"/>
  <c r="CL6" i="3"/>
  <c r="CK6" i="3"/>
  <c r="CJ6" i="3"/>
  <c r="CI6" i="3"/>
  <c r="CH6" i="3"/>
  <c r="CG6" i="3"/>
  <c r="CF6" i="3"/>
  <c r="CE6" i="3"/>
  <c r="CD6" i="3"/>
  <c r="CC6" i="3"/>
  <c r="CB6" i="3"/>
  <c r="CA6" i="3"/>
  <c r="BZ6" i="3"/>
  <c r="BY6" i="3"/>
  <c r="BX6" i="3"/>
  <c r="BW6" i="3"/>
  <c r="BV6" i="3"/>
  <c r="BU6" i="3"/>
  <c r="BT6" i="3"/>
  <c r="BS6" i="3"/>
  <c r="BR6" i="3"/>
  <c r="BL6" i="3"/>
  <c r="BK6" i="3"/>
  <c r="BJ6" i="3"/>
  <c r="BI6" i="3"/>
  <c r="BH6" i="3"/>
  <c r="BG6" i="3"/>
  <c r="BF6" i="3"/>
  <c r="BE6" i="3"/>
  <c r="BD6" i="3"/>
  <c r="BC6" i="3"/>
  <c r="BB6" i="3"/>
  <c r="BA6" i="3"/>
  <c r="AZ6" i="3"/>
  <c r="AY6" i="3"/>
  <c r="AX6" i="3"/>
  <c r="AW6" i="3"/>
  <c r="AV6" i="3"/>
  <c r="AU6" i="3"/>
  <c r="AT6" i="3"/>
  <c r="AS6" i="3"/>
  <c r="AR6" i="3"/>
  <c r="AQ6" i="3"/>
  <c r="AP6" i="3"/>
  <c r="AO6" i="3"/>
  <c r="AN6" i="3"/>
  <c r="AM6" i="3"/>
  <c r="AF6" i="3"/>
  <c r="AE6" i="3"/>
  <c r="AD6" i="3"/>
  <c r="AC6" i="3"/>
  <c r="AB6" i="3"/>
  <c r="AA6" i="3"/>
  <c r="Z6" i="3"/>
  <c r="Y6" i="3"/>
  <c r="X6" i="3"/>
  <c r="W6" i="3"/>
  <c r="V6" i="3"/>
  <c r="U6" i="3"/>
  <c r="T6" i="3"/>
  <c r="S6" i="3"/>
  <c r="R6" i="3"/>
  <c r="Q6" i="3"/>
  <c r="P6" i="3"/>
  <c r="O6" i="3"/>
  <c r="N6" i="3"/>
  <c r="M6" i="3"/>
  <c r="L6" i="3"/>
  <c r="K6" i="3"/>
  <c r="J6" i="3"/>
  <c r="I6" i="3"/>
  <c r="H6" i="3"/>
  <c r="G6" i="3"/>
  <c r="L45" i="1"/>
  <c r="L7" i="1"/>
  <c r="J60" i="3"/>
  <c r="AB122" i="3"/>
  <c r="AD122" i="3"/>
  <c r="AF122" i="3"/>
  <c r="H13" i="7"/>
  <c r="H22" i="7"/>
  <c r="H24" i="7"/>
  <c r="H135" i="3"/>
  <c r="AN135" i="3"/>
  <c r="AA122" i="3"/>
  <c r="AC122" i="3"/>
  <c r="AE122" i="3"/>
  <c r="BL122" i="3"/>
  <c r="AM149" i="3"/>
  <c r="AM157" i="3"/>
  <c r="AF102" i="7"/>
  <c r="AD102" i="7"/>
  <c r="AB102" i="7"/>
  <c r="Z102" i="7"/>
  <c r="X102" i="7"/>
  <c r="V102" i="7"/>
  <c r="T102" i="7"/>
  <c r="AF113" i="3"/>
  <c r="AD113" i="3"/>
  <c r="AB113" i="3"/>
  <c r="Z113" i="3"/>
  <c r="X113" i="3"/>
  <c r="V113" i="3"/>
  <c r="T113" i="3"/>
  <c r="R113" i="3"/>
  <c r="P113" i="3"/>
  <c r="N113" i="3"/>
  <c r="L113" i="3"/>
  <c r="J113" i="3"/>
  <c r="H113" i="3"/>
  <c r="G122" i="3"/>
  <c r="AE102" i="7"/>
  <c r="AC102" i="7"/>
  <c r="AA102" i="7"/>
  <c r="Y102" i="7"/>
  <c r="W102" i="7"/>
  <c r="U102" i="7"/>
  <c r="S102" i="7"/>
  <c r="G102" i="7"/>
  <c r="AM114" i="3"/>
  <c r="AM113" i="3"/>
  <c r="AM112" i="3"/>
  <c r="AE113" i="3"/>
  <c r="AC113" i="3"/>
  <c r="AA113" i="3"/>
  <c r="Y113" i="3"/>
  <c r="W113" i="3"/>
  <c r="U113" i="3"/>
  <c r="S113" i="3"/>
  <c r="Q113" i="3"/>
  <c r="O113" i="3"/>
  <c r="M113" i="3"/>
  <c r="K113" i="3"/>
  <c r="I113" i="3"/>
  <c r="G114" i="3"/>
  <c r="G113" i="3"/>
  <c r="G41" i="3"/>
  <c r="G44" i="3"/>
  <c r="G13" i="7"/>
  <c r="G22" i="7"/>
  <c r="AM135" i="3"/>
  <c r="G61" i="3"/>
  <c r="H61" i="3"/>
  <c r="G149" i="3"/>
  <c r="G147" i="3"/>
  <c r="AM147" i="3"/>
  <c r="G157" i="3"/>
  <c r="BS47" i="3"/>
  <c r="BR44" i="3"/>
  <c r="BR43" i="3"/>
  <c r="BS48" i="3"/>
  <c r="BT48" i="3"/>
  <c r="G57" i="7"/>
  <c r="F158" i="7"/>
  <c r="F160" i="7"/>
  <c r="F163" i="7"/>
  <c r="F165" i="7"/>
  <c r="F167" i="7"/>
  <c r="AM146" i="3"/>
  <c r="AM148" i="3"/>
  <c r="G146" i="3"/>
  <c r="G148" i="3"/>
  <c r="H138" i="3"/>
  <c r="G138" i="3"/>
  <c r="BS45" i="3"/>
  <c r="BS46" i="3"/>
  <c r="N123" i="3"/>
  <c r="M123" i="3"/>
  <c r="AQ123" i="3"/>
  <c r="J123" i="3"/>
  <c r="I123" i="3"/>
  <c r="G119" i="3"/>
  <c r="BR42" i="3"/>
  <c r="BR40" i="3"/>
  <c r="G24" i="7"/>
  <c r="BT41" i="3"/>
  <c r="AT123" i="3"/>
  <c r="AP123" i="3"/>
  <c r="G62" i="3"/>
  <c r="AM62" i="3"/>
  <c r="AM119" i="3"/>
  <c r="I22" i="7"/>
  <c r="AO135" i="3"/>
  <c r="I13" i="7"/>
  <c r="I135" i="3"/>
  <c r="G112" i="3"/>
  <c r="BS44" i="3"/>
  <c r="BS43" i="3"/>
  <c r="H62" i="3"/>
  <c r="AM168" i="3"/>
  <c r="K60" i="3"/>
  <c r="AM31" i="3"/>
  <c r="AM30" i="3"/>
  <c r="G139" i="3"/>
  <c r="G154" i="3"/>
  <c r="G156" i="3"/>
  <c r="AM154" i="3"/>
  <c r="AM156" i="3"/>
  <c r="G74" i="7"/>
  <c r="G141" i="3"/>
  <c r="H149" i="3"/>
  <c r="AM138" i="3"/>
  <c r="AN149" i="3"/>
  <c r="L60" i="3"/>
  <c r="BF122" i="3"/>
  <c r="BJ122" i="3"/>
  <c r="J22" i="7"/>
  <c r="AP135" i="3"/>
  <c r="BT42" i="3"/>
  <c r="AO123" i="3"/>
  <c r="K123" i="3"/>
  <c r="L123" i="3"/>
  <c r="AS123" i="3"/>
  <c r="O123" i="3"/>
  <c r="P123" i="3"/>
  <c r="AW123" i="3"/>
  <c r="BU48" i="3"/>
  <c r="BS42" i="3"/>
  <c r="BS40" i="3"/>
  <c r="BT40" i="3"/>
  <c r="BU41" i="3"/>
  <c r="G72" i="7"/>
  <c r="G73" i="7"/>
  <c r="Z122" i="3"/>
  <c r="BU47" i="3"/>
  <c r="BU46" i="3"/>
  <c r="AN122" i="3"/>
  <c r="AR123" i="3"/>
  <c r="AV123" i="3"/>
  <c r="J13" i="7"/>
  <c r="J24" i="7"/>
  <c r="J135" i="3"/>
  <c r="I24" i="7"/>
  <c r="AN93" i="3"/>
  <c r="H122" i="3"/>
  <c r="T122" i="3"/>
  <c r="U122" i="3"/>
  <c r="X122" i="3"/>
  <c r="Y122" i="3"/>
  <c r="BK122" i="3"/>
  <c r="AP125" i="3"/>
  <c r="AP177" i="3"/>
  <c r="BU12" i="3"/>
  <c r="AT125" i="3"/>
  <c r="AT177" i="3"/>
  <c r="BY12" i="3"/>
  <c r="I125" i="3"/>
  <c r="I176" i="3"/>
  <c r="BT11" i="3"/>
  <c r="J125" i="3"/>
  <c r="J176" i="3"/>
  <c r="BU11" i="3"/>
  <c r="BU10" i="3"/>
  <c r="AQ125" i="3"/>
  <c r="AQ177" i="3"/>
  <c r="BV12" i="3"/>
  <c r="M125" i="3"/>
  <c r="M176" i="3"/>
  <c r="BX11" i="3"/>
  <c r="N125" i="3"/>
  <c r="N176" i="3"/>
  <c r="BY11" i="3"/>
  <c r="BY10" i="3"/>
  <c r="AU123" i="3"/>
  <c r="Q123" i="3"/>
  <c r="BT45" i="3"/>
  <c r="AO149" i="3"/>
  <c r="AN141" i="3"/>
  <c r="AM139" i="3"/>
  <c r="H157" i="3"/>
  <c r="H139" i="3"/>
  <c r="H141" i="3"/>
  <c r="AM141" i="3"/>
  <c r="AN138" i="3"/>
  <c r="I149" i="3"/>
  <c r="I138" i="3"/>
  <c r="BU45" i="3"/>
  <c r="Q125" i="3"/>
  <c r="Q176" i="3"/>
  <c r="CB11" i="3"/>
  <c r="CB12" i="3"/>
  <c r="CB10" i="3"/>
  <c r="BT12" i="3"/>
  <c r="BT10" i="3"/>
  <c r="AM45" i="3"/>
  <c r="AM41" i="3"/>
  <c r="AM46" i="3"/>
  <c r="AM39" i="3"/>
  <c r="BC122" i="3"/>
  <c r="AO94" i="3"/>
  <c r="AP94" i="3"/>
  <c r="AQ94" i="3"/>
  <c r="AO93" i="3"/>
  <c r="AN92" i="3"/>
  <c r="AR125" i="3"/>
  <c r="AR177" i="3"/>
  <c r="BW12" i="3"/>
  <c r="BT47" i="3"/>
  <c r="BT46" i="3"/>
  <c r="BT44" i="3"/>
  <c r="BT43" i="3"/>
  <c r="BI122" i="3"/>
  <c r="V122" i="3"/>
  <c r="S122" i="3"/>
  <c r="AU125" i="3"/>
  <c r="AU177" i="3"/>
  <c r="BZ12" i="3"/>
  <c r="BY29" i="3"/>
  <c r="BU29" i="3"/>
  <c r="BW48" i="3"/>
  <c r="BG122" i="3"/>
  <c r="K13" i="7"/>
  <c r="K22" i="7"/>
  <c r="K24" i="7"/>
  <c r="K135" i="3"/>
  <c r="AV125" i="3"/>
  <c r="AV177" i="3"/>
  <c r="CA12" i="3"/>
  <c r="W122" i="3"/>
  <c r="BE122" i="3"/>
  <c r="R122" i="3"/>
  <c r="H72" i="7"/>
  <c r="BU44" i="3"/>
  <c r="BU43" i="3"/>
  <c r="BH122" i="3"/>
  <c r="BV48" i="3"/>
  <c r="P125" i="3"/>
  <c r="P176" i="3"/>
  <c r="CA11" i="3"/>
  <c r="CA10" i="3"/>
  <c r="AS125" i="3"/>
  <c r="AS177" i="3"/>
  <c r="BX12" i="3"/>
  <c r="BX10" i="3"/>
  <c r="K125" i="3"/>
  <c r="K176" i="3"/>
  <c r="BV11" i="3"/>
  <c r="BV10" i="3"/>
  <c r="AQ135" i="3"/>
  <c r="M60" i="3"/>
  <c r="BV41" i="3"/>
  <c r="BD122" i="3"/>
  <c r="AW125" i="3"/>
  <c r="AW177" i="3"/>
  <c r="O125" i="3"/>
  <c r="O176" i="3"/>
  <c r="BZ11" i="3"/>
  <c r="BZ10" i="3"/>
  <c r="BZ29" i="3"/>
  <c r="L125" i="3"/>
  <c r="L176" i="3"/>
  <c r="BW11" i="3"/>
  <c r="AO125" i="3"/>
  <c r="AO177" i="3"/>
  <c r="BT29" i="3"/>
  <c r="I122" i="3"/>
  <c r="AO122" i="3"/>
  <c r="AM51" i="3"/>
  <c r="J149" i="3"/>
  <c r="J138" i="3"/>
  <c r="AN157" i="3"/>
  <c r="I157" i="3"/>
  <c r="G55" i="3"/>
  <c r="AO138" i="3"/>
  <c r="I139" i="3"/>
  <c r="I141" i="3"/>
  <c r="AN139" i="3"/>
  <c r="AO141" i="3"/>
  <c r="AP149" i="3"/>
  <c r="AM48" i="3"/>
  <c r="BX29" i="3"/>
  <c r="BW41" i="3"/>
  <c r="N60" i="3"/>
  <c r="AP122" i="3"/>
  <c r="BU42" i="3"/>
  <c r="BU40" i="3"/>
  <c r="L13" i="7"/>
  <c r="L135" i="3"/>
  <c r="BV45" i="3"/>
  <c r="BW10" i="3"/>
  <c r="BW29" i="3"/>
  <c r="L22" i="7"/>
  <c r="AR135" i="3"/>
  <c r="J122" i="3"/>
  <c r="BV29" i="3"/>
  <c r="CA29" i="3"/>
  <c r="I72" i="7"/>
  <c r="AO92" i="3"/>
  <c r="AP93" i="3"/>
  <c r="AP95" i="3"/>
  <c r="AP92" i="3"/>
  <c r="AQ95" i="3"/>
  <c r="AR95" i="3"/>
  <c r="CB29" i="3"/>
  <c r="BW47" i="3"/>
  <c r="BW46" i="3"/>
  <c r="AP157" i="3"/>
  <c r="AO139" i="3"/>
  <c r="G48" i="3"/>
  <c r="AQ149" i="3"/>
  <c r="AO157" i="3"/>
  <c r="J139" i="3"/>
  <c r="J141" i="3"/>
  <c r="AP141" i="3"/>
  <c r="AP138" i="3"/>
  <c r="I159" i="3"/>
  <c r="H159" i="3"/>
  <c r="K149" i="3"/>
  <c r="K138" i="3"/>
  <c r="AM53" i="3"/>
  <c r="AM56" i="3"/>
  <c r="G53" i="3"/>
  <c r="BV47" i="3"/>
  <c r="BV46" i="3"/>
  <c r="BV44" i="3"/>
  <c r="BV43" i="3"/>
  <c r="AQ96" i="3"/>
  <c r="J72" i="7"/>
  <c r="BV42" i="3"/>
  <c r="BV40" i="3"/>
  <c r="M22" i="7"/>
  <c r="AS135" i="3"/>
  <c r="BW42" i="3"/>
  <c r="L24" i="7"/>
  <c r="K122" i="3"/>
  <c r="BX41" i="3"/>
  <c r="AQ122" i="3"/>
  <c r="BW45" i="3"/>
  <c r="BX48" i="3"/>
  <c r="BY48" i="3"/>
  <c r="M13" i="7"/>
  <c r="M24" i="7"/>
  <c r="M135" i="3"/>
  <c r="O60" i="3"/>
  <c r="BW40" i="3"/>
  <c r="BW44" i="3"/>
  <c r="BW43" i="3"/>
  <c r="G163" i="3"/>
  <c r="AM163" i="3"/>
  <c r="H119" i="3"/>
  <c r="L149" i="3"/>
  <c r="L138" i="3"/>
  <c r="AO159" i="3"/>
  <c r="AN159" i="3"/>
  <c r="AP159" i="3"/>
  <c r="J157" i="3"/>
  <c r="K139" i="3"/>
  <c r="K141" i="3"/>
  <c r="G211" i="3"/>
  <c r="G210" i="3"/>
  <c r="G28" i="3"/>
  <c r="G161" i="3"/>
  <c r="AM214" i="3"/>
  <c r="AM28" i="3"/>
  <c r="AM161" i="3"/>
  <c r="AQ138" i="3"/>
  <c r="AR149" i="3"/>
  <c r="G56" i="3"/>
  <c r="AP139" i="3"/>
  <c r="AM215" i="3"/>
  <c r="L122" i="3"/>
  <c r="N135" i="3"/>
  <c r="BX45" i="3"/>
  <c r="K72" i="7"/>
  <c r="BY41" i="3"/>
  <c r="AR97" i="3"/>
  <c r="AS97" i="3"/>
  <c r="AT97" i="3"/>
  <c r="AR96" i="3"/>
  <c r="AQ92" i="3"/>
  <c r="P60" i="3"/>
  <c r="BY47" i="3"/>
  <c r="BY46" i="3"/>
  <c r="AR122" i="3"/>
  <c r="AT135" i="3"/>
  <c r="I119" i="3"/>
  <c r="H115" i="3"/>
  <c r="AQ139" i="3"/>
  <c r="AS149" i="3"/>
  <c r="AQ141" i="3"/>
  <c r="AR141" i="3"/>
  <c r="AR138" i="3"/>
  <c r="G216" i="3"/>
  <c r="G71" i="7"/>
  <c r="L157" i="3"/>
  <c r="K157" i="3"/>
  <c r="L139" i="3"/>
  <c r="L141" i="3"/>
  <c r="M149" i="3"/>
  <c r="M138" i="3"/>
  <c r="AR157" i="3"/>
  <c r="AM220" i="3"/>
  <c r="BR13" i="3"/>
  <c r="BR37" i="3"/>
  <c r="AN115" i="3"/>
  <c r="AQ157" i="3"/>
  <c r="BR15" i="3"/>
  <c r="AS96" i="3"/>
  <c r="AR92" i="3"/>
  <c r="AS98" i="3"/>
  <c r="AT98" i="3"/>
  <c r="AU98" i="3"/>
  <c r="AS122" i="3"/>
  <c r="BX47" i="3"/>
  <c r="BX46" i="3"/>
  <c r="BX44" i="3"/>
  <c r="BX43" i="3"/>
  <c r="CP48" i="3"/>
  <c r="BY44" i="3"/>
  <c r="O13" i="7"/>
  <c r="O135" i="3"/>
  <c r="BX42" i="3"/>
  <c r="BX40" i="3"/>
  <c r="O22" i="7"/>
  <c r="AU135" i="3"/>
  <c r="BY42" i="3"/>
  <c r="BY40" i="3"/>
  <c r="L72" i="7"/>
  <c r="M122" i="3"/>
  <c r="Q60" i="3"/>
  <c r="CK48" i="3"/>
  <c r="CQ48" i="3"/>
  <c r="BZ48" i="3"/>
  <c r="CN48" i="3"/>
  <c r="CE48" i="3"/>
  <c r="CC48" i="3"/>
  <c r="CI48" i="3"/>
  <c r="CH48" i="3"/>
  <c r="CM48" i="3"/>
  <c r="CD48" i="3"/>
  <c r="CJ48" i="3"/>
  <c r="CA48" i="3"/>
  <c r="CG48" i="3"/>
  <c r="CL48" i="3"/>
  <c r="CB48" i="3"/>
  <c r="CO48" i="3"/>
  <c r="CF48" i="3"/>
  <c r="BZ41" i="3"/>
  <c r="BY45" i="3"/>
  <c r="AN119" i="3"/>
  <c r="AO115" i="3"/>
  <c r="I115" i="3"/>
  <c r="BR38" i="3"/>
  <c r="J159" i="3"/>
  <c r="K159" i="3"/>
  <c r="J119" i="3"/>
  <c r="N149" i="3"/>
  <c r="N138" i="3"/>
  <c r="M139" i="3"/>
  <c r="M141" i="3"/>
  <c r="BR35" i="3"/>
  <c r="AS138" i="3"/>
  <c r="AT149" i="3"/>
  <c r="AR139" i="3"/>
  <c r="AO119" i="3"/>
  <c r="CA47" i="3"/>
  <c r="CA46" i="3"/>
  <c r="BZ45" i="3"/>
  <c r="R60" i="3"/>
  <c r="P22" i="7"/>
  <c r="AV135" i="3"/>
  <c r="P13" i="7"/>
  <c r="P24" i="7"/>
  <c r="P135" i="3"/>
  <c r="O24" i="7"/>
  <c r="N122" i="3"/>
  <c r="CB47" i="3"/>
  <c r="CB46" i="3"/>
  <c r="CD47" i="3"/>
  <c r="CD46" i="3"/>
  <c r="CJ47" i="3"/>
  <c r="CJ46" i="3"/>
  <c r="CL47" i="3"/>
  <c r="CL46" i="3"/>
  <c r="CC47" i="3"/>
  <c r="CC46" i="3"/>
  <c r="CM47" i="3"/>
  <c r="CM46" i="3"/>
  <c r="CK47" i="3"/>
  <c r="CK46" i="3"/>
  <c r="CE47" i="3"/>
  <c r="CE46" i="3"/>
  <c r="CA44" i="3"/>
  <c r="CA41" i="3"/>
  <c r="AT122" i="3"/>
  <c r="BY43" i="3"/>
  <c r="AT99" i="3"/>
  <c r="AS92" i="3"/>
  <c r="M72" i="7"/>
  <c r="AP115" i="3"/>
  <c r="AS139" i="3"/>
  <c r="AT157" i="3"/>
  <c r="AT141" i="3"/>
  <c r="AT138" i="3"/>
  <c r="M157" i="3"/>
  <c r="AU149" i="3"/>
  <c r="AS157" i="3"/>
  <c r="AS141" i="3"/>
  <c r="N139" i="3"/>
  <c r="N141" i="3"/>
  <c r="O149" i="3"/>
  <c r="O138" i="3"/>
  <c r="L159" i="3"/>
  <c r="J115" i="3"/>
  <c r="AP119" i="3"/>
  <c r="N157" i="3"/>
  <c r="K119" i="3"/>
  <c r="AS159" i="3"/>
  <c r="AT159" i="3"/>
  <c r="AQ159" i="3"/>
  <c r="G118" i="7"/>
  <c r="AU100" i="3"/>
  <c r="AV100" i="3"/>
  <c r="AW100" i="3"/>
  <c r="AU99" i="3"/>
  <c r="AT92" i="3"/>
  <c r="CB44" i="3"/>
  <c r="CB41" i="3"/>
  <c r="BZ42" i="3"/>
  <c r="BZ40" i="3"/>
  <c r="Q22" i="7"/>
  <c r="AW135" i="3"/>
  <c r="CA42" i="3"/>
  <c r="S60" i="3"/>
  <c r="AR159" i="3"/>
  <c r="N72" i="7"/>
  <c r="O122" i="3"/>
  <c r="CA40" i="3"/>
  <c r="CA45" i="3"/>
  <c r="CA43" i="3"/>
  <c r="BZ47" i="3"/>
  <c r="BZ46" i="3"/>
  <c r="BZ44" i="3"/>
  <c r="BZ43" i="3"/>
  <c r="Q13" i="7"/>
  <c r="Q24" i="7"/>
  <c r="Q135" i="3"/>
  <c r="AU122" i="3"/>
  <c r="CN47" i="3"/>
  <c r="CN46" i="3"/>
  <c r="CI47" i="3"/>
  <c r="CI46" i="3"/>
  <c r="CO47" i="3"/>
  <c r="CO46" i="3"/>
  <c r="CP47" i="3"/>
  <c r="CP46" i="3"/>
  <c r="CF47" i="3"/>
  <c r="CF46" i="3"/>
  <c r="CQ47" i="3"/>
  <c r="CQ46" i="3"/>
  <c r="CH47" i="3"/>
  <c r="CH46" i="3"/>
  <c r="CG47" i="3"/>
  <c r="CG46" i="3"/>
  <c r="L119" i="3"/>
  <c r="O157" i="3"/>
  <c r="AU157" i="3"/>
  <c r="AV149" i="3"/>
  <c r="K115" i="3"/>
  <c r="AQ119" i="3"/>
  <c r="AQ115" i="3"/>
  <c r="P149" i="3"/>
  <c r="P138" i="3"/>
  <c r="O139" i="3"/>
  <c r="O141" i="3"/>
  <c r="AU138" i="3"/>
  <c r="AT139" i="3"/>
  <c r="CB45" i="3"/>
  <c r="T60" i="3"/>
  <c r="CB43" i="3"/>
  <c r="AV101" i="3"/>
  <c r="AW101" i="3"/>
  <c r="AX101" i="3"/>
  <c r="H123" i="3"/>
  <c r="R13" i="7"/>
  <c r="R135" i="3"/>
  <c r="AV122" i="3"/>
  <c r="R22" i="7"/>
  <c r="AX135" i="3"/>
  <c r="CC44" i="3"/>
  <c r="CC41" i="3"/>
  <c r="AV99" i="3"/>
  <c r="AV92" i="3"/>
  <c r="AU92" i="3"/>
  <c r="P122" i="3"/>
  <c r="O72" i="7"/>
  <c r="AV138" i="3"/>
  <c r="Q149" i="3"/>
  <c r="Q138" i="3"/>
  <c r="AR115" i="3"/>
  <c r="N159" i="3"/>
  <c r="M159" i="3"/>
  <c r="P139" i="3"/>
  <c r="P141" i="3"/>
  <c r="AU139" i="3"/>
  <c r="AU141" i="3"/>
  <c r="AU159" i="3"/>
  <c r="L115" i="3"/>
  <c r="AW149" i="3"/>
  <c r="AV157" i="3"/>
  <c r="AR119" i="3"/>
  <c r="R24" i="7"/>
  <c r="H125" i="3"/>
  <c r="H176" i="3"/>
  <c r="BS11" i="3"/>
  <c r="AW122" i="3"/>
  <c r="CC45" i="3"/>
  <c r="CC43" i="3"/>
  <c r="CD44" i="3"/>
  <c r="CD41" i="3"/>
  <c r="CB42" i="3"/>
  <c r="CB40" i="3"/>
  <c r="S22" i="7"/>
  <c r="AY135" i="3"/>
  <c r="CC42" i="3"/>
  <c r="CC40" i="3"/>
  <c r="S13" i="7"/>
  <c r="S24" i="7"/>
  <c r="S135" i="3"/>
  <c r="P72" i="7"/>
  <c r="Q122" i="3"/>
  <c r="G121" i="3"/>
  <c r="AW102" i="3"/>
  <c r="U60" i="3"/>
  <c r="AX149" i="3"/>
  <c r="N119" i="3"/>
  <c r="M119" i="3"/>
  <c r="P157" i="3"/>
  <c r="Q139" i="3"/>
  <c r="Q141" i="3"/>
  <c r="R149" i="3"/>
  <c r="R138" i="3"/>
  <c r="AW157" i="3"/>
  <c r="AV139" i="3"/>
  <c r="Q157" i="3"/>
  <c r="AS115" i="3"/>
  <c r="M115" i="3"/>
  <c r="AS119" i="3"/>
  <c r="AW141" i="3"/>
  <c r="AW138" i="3"/>
  <c r="AV141" i="3"/>
  <c r="V60" i="3"/>
  <c r="G124" i="3"/>
  <c r="D66" i="6"/>
  <c r="T13" i="7"/>
  <c r="T135" i="3"/>
  <c r="T22" i="7"/>
  <c r="AZ135" i="3"/>
  <c r="CD42" i="3"/>
  <c r="CD40" i="3"/>
  <c r="CE44" i="3"/>
  <c r="CE41" i="3"/>
  <c r="CD45" i="3"/>
  <c r="Q72" i="7"/>
  <c r="AX122" i="3"/>
  <c r="AX102" i="3"/>
  <c r="AW92" i="3"/>
  <c r="CD43" i="3"/>
  <c r="AT115" i="3"/>
  <c r="AX138" i="3"/>
  <c r="AT119" i="3"/>
  <c r="AW139" i="3"/>
  <c r="N115" i="3"/>
  <c r="O119" i="3"/>
  <c r="R157" i="3"/>
  <c r="S149" i="3"/>
  <c r="S138" i="3"/>
  <c r="R139" i="3"/>
  <c r="R141" i="3"/>
  <c r="Q159" i="3"/>
  <c r="P159" i="3"/>
  <c r="O159" i="3"/>
  <c r="AY149" i="3"/>
  <c r="AY102" i="3"/>
  <c r="AY92" i="3"/>
  <c r="AX92" i="3"/>
  <c r="R72" i="7"/>
  <c r="CF44" i="3"/>
  <c r="CF41" i="3"/>
  <c r="T24" i="7"/>
  <c r="W60" i="3"/>
  <c r="R74" i="7"/>
  <c r="CE45" i="3"/>
  <c r="CE43" i="3"/>
  <c r="U22" i="7"/>
  <c r="BA135" i="3"/>
  <c r="U13" i="7"/>
  <c r="U24" i="7"/>
  <c r="U135" i="3"/>
  <c r="AY122" i="3"/>
  <c r="P119" i="3"/>
  <c r="AY157" i="3"/>
  <c r="AZ149" i="3"/>
  <c r="S139" i="3"/>
  <c r="S141" i="3"/>
  <c r="T149" i="3"/>
  <c r="T138" i="3"/>
  <c r="S157" i="3"/>
  <c r="AX157" i="3"/>
  <c r="AW159" i="3"/>
  <c r="AV159" i="3"/>
  <c r="AX159" i="3"/>
  <c r="AX139" i="3"/>
  <c r="AU119" i="3"/>
  <c r="O115" i="3"/>
  <c r="AU115" i="3"/>
  <c r="AY138" i="3"/>
  <c r="AY141" i="3"/>
  <c r="AX141" i="3"/>
  <c r="S74" i="7"/>
  <c r="AY159" i="3"/>
  <c r="CE42" i="3"/>
  <c r="CE40" i="3"/>
  <c r="S72" i="7"/>
  <c r="AZ122" i="3"/>
  <c r="CG44" i="3"/>
  <c r="CG41" i="3"/>
  <c r="V13" i="7"/>
  <c r="V22" i="7"/>
  <c r="V24" i="7"/>
  <c r="V135" i="3"/>
  <c r="BB135" i="3"/>
  <c r="CF42" i="3"/>
  <c r="CF40" i="3"/>
  <c r="CF45" i="3"/>
  <c r="X60" i="3"/>
  <c r="CF43" i="3"/>
  <c r="AZ138" i="3"/>
  <c r="P115" i="3"/>
  <c r="AY139" i="3"/>
  <c r="T157" i="3"/>
  <c r="AV115" i="3"/>
  <c r="U149" i="3"/>
  <c r="U138" i="3"/>
  <c r="S159" i="3"/>
  <c r="R159" i="3"/>
  <c r="Q119" i="3"/>
  <c r="T139" i="3"/>
  <c r="T141" i="3"/>
  <c r="BA149" i="3"/>
  <c r="AV119" i="3"/>
  <c r="T74" i="7"/>
  <c r="BA122" i="3"/>
  <c r="T72" i="7"/>
  <c r="W13" i="7"/>
  <c r="W135" i="3"/>
  <c r="CH44" i="3"/>
  <c r="CH41" i="3"/>
  <c r="Y60" i="3"/>
  <c r="AN123" i="3"/>
  <c r="CG45" i="3"/>
  <c r="W22" i="7"/>
  <c r="BC135" i="3"/>
  <c r="CG43" i="3"/>
  <c r="Q115" i="3"/>
  <c r="BB149" i="3"/>
  <c r="AW119" i="3"/>
  <c r="AZ139" i="3"/>
  <c r="AW115" i="3"/>
  <c r="BA157" i="3"/>
  <c r="U139" i="3"/>
  <c r="U141" i="3"/>
  <c r="R119" i="3"/>
  <c r="AZ157" i="3"/>
  <c r="T159" i="3"/>
  <c r="V149" i="3"/>
  <c r="V138" i="3"/>
  <c r="BA141" i="3"/>
  <c r="BA138" i="3"/>
  <c r="AZ141" i="3"/>
  <c r="U74" i="7"/>
  <c r="CG42" i="3"/>
  <c r="CG40" i="3"/>
  <c r="CH45" i="3"/>
  <c r="U72" i="7"/>
  <c r="BB122" i="3"/>
  <c r="AM121" i="3"/>
  <c r="Z60" i="3"/>
  <c r="CH43" i="3"/>
  <c r="X135" i="3"/>
  <c r="W24" i="7"/>
  <c r="BD135" i="3"/>
  <c r="CH42" i="3"/>
  <c r="AN125" i="3"/>
  <c r="AN177" i="3"/>
  <c r="BS12" i="3"/>
  <c r="BS10" i="3"/>
  <c r="BS29" i="3"/>
  <c r="CH40" i="3"/>
  <c r="CI44" i="3"/>
  <c r="CI41" i="3"/>
  <c r="S119" i="3"/>
  <c r="BB138" i="3"/>
  <c r="W149" i="3"/>
  <c r="W138" i="3"/>
  <c r="AX115" i="3"/>
  <c r="R115" i="3"/>
  <c r="V157" i="3"/>
  <c r="U157" i="3"/>
  <c r="V139" i="3"/>
  <c r="V141" i="3"/>
  <c r="BB141" i="3"/>
  <c r="BA139" i="3"/>
  <c r="BC149" i="3"/>
  <c r="V74" i="7"/>
  <c r="W74" i="7"/>
  <c r="AM124" i="3"/>
  <c r="K66" i="6"/>
  <c r="BR30" i="3"/>
  <c r="S66" i="6"/>
  <c r="CI45" i="3"/>
  <c r="CI43" i="3"/>
  <c r="BA159" i="3"/>
  <c r="CJ44" i="3"/>
  <c r="CJ41" i="3"/>
  <c r="V72" i="7"/>
  <c r="Y22" i="7"/>
  <c r="BE135" i="3"/>
  <c r="CI42" i="3"/>
  <c r="CI40" i="3"/>
  <c r="Y13" i="7"/>
  <c r="Y24" i="7"/>
  <c r="Y135" i="3"/>
  <c r="AA60" i="3"/>
  <c r="W139" i="3"/>
  <c r="W141" i="3"/>
  <c r="T119" i="3"/>
  <c r="BB157" i="3"/>
  <c r="AY119" i="3"/>
  <c r="AX119" i="3"/>
  <c r="BC138" i="3"/>
  <c r="BD149" i="3"/>
  <c r="BB139" i="3"/>
  <c r="S115" i="3"/>
  <c r="AZ159" i="3"/>
  <c r="V159" i="3"/>
  <c r="U159" i="3"/>
  <c r="W157" i="3"/>
  <c r="AY115" i="3"/>
  <c r="X149" i="3"/>
  <c r="X138" i="3"/>
  <c r="Z13" i="7"/>
  <c r="Z135" i="3"/>
  <c r="Z22" i="7"/>
  <c r="BF135" i="3"/>
  <c r="CJ42" i="3"/>
  <c r="CJ40" i="3"/>
  <c r="CK44" i="3"/>
  <c r="CK41" i="3"/>
  <c r="AB60" i="3"/>
  <c r="CJ45" i="3"/>
  <c r="CJ43" i="3"/>
  <c r="W72" i="7"/>
  <c r="BE149" i="3"/>
  <c r="BD138" i="3"/>
  <c r="T115" i="3"/>
  <c r="BB159" i="3"/>
  <c r="X139" i="3"/>
  <c r="X141" i="3"/>
  <c r="U119" i="3"/>
  <c r="AZ115" i="3"/>
  <c r="Y149" i="3"/>
  <c r="Y138" i="3"/>
  <c r="BD141" i="3"/>
  <c r="BC139" i="3"/>
  <c r="BC157" i="3"/>
  <c r="BC141" i="3"/>
  <c r="CK42" i="3"/>
  <c r="X74" i="7"/>
  <c r="CK40" i="3"/>
  <c r="AA22" i="7"/>
  <c r="BG135" i="3"/>
  <c r="AA13" i="7"/>
  <c r="AA24" i="7"/>
  <c r="AA135" i="3"/>
  <c r="CK45" i="3"/>
  <c r="CK43" i="3"/>
  <c r="AC60" i="3"/>
  <c r="X72" i="7"/>
  <c r="CL44" i="3"/>
  <c r="CL41" i="3"/>
  <c r="Z24" i="7"/>
  <c r="BD157" i="3"/>
  <c r="Z149" i="3"/>
  <c r="Z138" i="3"/>
  <c r="BE138" i="3"/>
  <c r="BF149" i="3"/>
  <c r="X157" i="3"/>
  <c r="BA115" i="3"/>
  <c r="U115" i="3"/>
  <c r="BD139" i="3"/>
  <c r="AZ119" i="3"/>
  <c r="X159" i="3"/>
  <c r="W159" i="3"/>
  <c r="Y139" i="3"/>
  <c r="Y141" i="3"/>
  <c r="BC159" i="3"/>
  <c r="BA119" i="3"/>
  <c r="CM44" i="3"/>
  <c r="CM41" i="3"/>
  <c r="AD60" i="3"/>
  <c r="CL45" i="3"/>
  <c r="AB13" i="7"/>
  <c r="AB135" i="3"/>
  <c r="Y72" i="7"/>
  <c r="CL43" i="3"/>
  <c r="G126" i="7"/>
  <c r="AB22" i="7"/>
  <c r="BH135" i="3"/>
  <c r="Y74" i="7"/>
  <c r="Z139" i="3"/>
  <c r="Z141" i="3"/>
  <c r="Y157" i="3"/>
  <c r="BB115" i="3"/>
  <c r="W119" i="3"/>
  <c r="BG149" i="3"/>
  <c r="BE157" i="3"/>
  <c r="BF138" i="3"/>
  <c r="V115" i="3"/>
  <c r="AA149" i="3"/>
  <c r="AA138" i="3"/>
  <c r="Z157" i="3"/>
  <c r="BB119" i="3"/>
  <c r="BE139" i="3"/>
  <c r="Y159" i="3"/>
  <c r="V119" i="3"/>
  <c r="BF157" i="3"/>
  <c r="BE141" i="3"/>
  <c r="BE159" i="3"/>
  <c r="BD159" i="3"/>
  <c r="CL42" i="3"/>
  <c r="CL40" i="3"/>
  <c r="AC22" i="7"/>
  <c r="BI135" i="3"/>
  <c r="CM42" i="3"/>
  <c r="Z74" i="7"/>
  <c r="AA74" i="7"/>
  <c r="AC13" i="7"/>
  <c r="AC24" i="7"/>
  <c r="AC135" i="3"/>
  <c r="AE60" i="3"/>
  <c r="CM40" i="3"/>
  <c r="Z72" i="7"/>
  <c r="AB24" i="7"/>
  <c r="CM45" i="3"/>
  <c r="CM43" i="3"/>
  <c r="CN44" i="3"/>
  <c r="CN41" i="3"/>
  <c r="BF139" i="3"/>
  <c r="AB149" i="3"/>
  <c r="AB138" i="3"/>
  <c r="BG157" i="3"/>
  <c r="AA139" i="3"/>
  <c r="AA141" i="3"/>
  <c r="X119" i="3"/>
  <c r="AA157" i="3"/>
  <c r="W115" i="3"/>
  <c r="BC115" i="3"/>
  <c r="BG138" i="3"/>
  <c r="BG141" i="3"/>
  <c r="BF141" i="3"/>
  <c r="BF159" i="3"/>
  <c r="BH149" i="3"/>
  <c r="Z159" i="3"/>
  <c r="CN45" i="3"/>
  <c r="CN43" i="3"/>
  <c r="AF60" i="3"/>
  <c r="AD135" i="3"/>
  <c r="BJ135" i="3"/>
  <c r="CO44" i="3"/>
  <c r="CO41" i="3"/>
  <c r="AA72" i="7"/>
  <c r="BD115" i="3"/>
  <c r="BH157" i="3"/>
  <c r="BH138" i="3"/>
  <c r="AC149" i="3"/>
  <c r="AC138" i="3"/>
  <c r="BG139" i="3"/>
  <c r="Y119" i="3"/>
  <c r="BI149" i="3"/>
  <c r="BG159" i="3"/>
  <c r="AB157" i="3"/>
  <c r="BC119" i="3"/>
  <c r="AB139" i="3"/>
  <c r="AB141" i="3"/>
  <c r="X115" i="3"/>
  <c r="AA159" i="3"/>
  <c r="AB159" i="3"/>
  <c r="CN42" i="3"/>
  <c r="CN40" i="3"/>
  <c r="AE22" i="7"/>
  <c r="BK135" i="3"/>
  <c r="CO42" i="3"/>
  <c r="CO40" i="3"/>
  <c r="AB72" i="7"/>
  <c r="AE13" i="7"/>
  <c r="AE24" i="7"/>
  <c r="AE135" i="3"/>
  <c r="CP44" i="3"/>
  <c r="CP41" i="3"/>
  <c r="AB74" i="7"/>
  <c r="CO45" i="3"/>
  <c r="CO43" i="3"/>
  <c r="BI157" i="3"/>
  <c r="BJ149" i="3"/>
  <c r="BE119" i="3"/>
  <c r="BH139" i="3"/>
  <c r="AD149" i="3"/>
  <c r="AD138" i="3"/>
  <c r="BD119" i="3"/>
  <c r="AC139" i="3"/>
  <c r="AC141" i="3"/>
  <c r="BE115" i="3"/>
  <c r="Y115" i="3"/>
  <c r="AC157" i="3"/>
  <c r="BI159" i="3"/>
  <c r="BI141" i="3"/>
  <c r="BI138" i="3"/>
  <c r="BH141" i="3"/>
  <c r="BH159" i="3"/>
  <c r="AC74" i="7"/>
  <c r="CP45" i="3"/>
  <c r="CQ45" i="3"/>
  <c r="AC72" i="7"/>
  <c r="CQ44" i="3"/>
  <c r="CQ43" i="3"/>
  <c r="CQ41" i="3"/>
  <c r="AF13" i="7"/>
  <c r="AF135" i="3"/>
  <c r="AF22" i="7"/>
  <c r="BL135" i="3"/>
  <c r="CP43" i="3"/>
  <c r="BJ138" i="3"/>
  <c r="Z119" i="3"/>
  <c r="AD157" i="3"/>
  <c r="Z115" i="3"/>
  <c r="AE149" i="3"/>
  <c r="AE138" i="3"/>
  <c r="BF115" i="3"/>
  <c r="AD139" i="3"/>
  <c r="AD141" i="3"/>
  <c r="AC159" i="3"/>
  <c r="BI139" i="3"/>
  <c r="BK149" i="3"/>
  <c r="BF119" i="3"/>
  <c r="CP42" i="3"/>
  <c r="CP40" i="3"/>
  <c r="AF24" i="7"/>
  <c r="AD74" i="7"/>
  <c r="CQ42" i="3"/>
  <c r="CQ40" i="3"/>
  <c r="AD72" i="7"/>
  <c r="BK157" i="3"/>
  <c r="BL149" i="3"/>
  <c r="BG119" i="3"/>
  <c r="AE139" i="3"/>
  <c r="AE141" i="3"/>
  <c r="BG115" i="3"/>
  <c r="BJ139" i="3"/>
  <c r="AA119" i="3"/>
  <c r="AA115" i="3"/>
  <c r="AD159" i="3"/>
  <c r="BJ157" i="3"/>
  <c r="AF149" i="3"/>
  <c r="AF138" i="3"/>
  <c r="AE157" i="3"/>
  <c r="BK141" i="3"/>
  <c r="BK138" i="3"/>
  <c r="BJ141" i="3"/>
  <c r="AE72" i="7"/>
  <c r="G134" i="7"/>
  <c r="AE74" i="7"/>
  <c r="BJ159" i="3"/>
  <c r="BK139" i="3"/>
  <c r="AF139" i="3"/>
  <c r="AF141" i="3"/>
  <c r="BH115" i="3"/>
  <c r="BL141" i="3"/>
  <c r="BL138" i="3"/>
  <c r="AF157" i="3"/>
  <c r="BH119" i="3"/>
  <c r="AB119" i="3"/>
  <c r="AB115" i="3"/>
  <c r="AC119" i="3"/>
  <c r="BL157" i="3"/>
  <c r="AF74" i="7"/>
  <c r="AF72" i="7"/>
  <c r="BI119" i="3"/>
  <c r="BI115" i="3"/>
  <c r="AC115" i="3"/>
  <c r="BL159" i="3"/>
  <c r="BK159" i="3"/>
  <c r="AE159" i="3"/>
  <c r="AD119" i="3"/>
  <c r="BL139" i="3"/>
  <c r="AK71" i="10"/>
  <c r="AK54" i="10"/>
  <c r="BJ115" i="3"/>
  <c r="AD115" i="3"/>
  <c r="AE119" i="3"/>
  <c r="BJ119" i="3"/>
  <c r="AF159" i="3"/>
  <c r="AE115" i="3"/>
  <c r="BK115" i="3"/>
  <c r="AF119" i="3"/>
  <c r="BL115" i="3"/>
  <c r="BL119" i="3"/>
  <c r="AF115" i="3"/>
  <c r="G127" i="3"/>
  <c r="BK119" i="3"/>
  <c r="G50" i="7"/>
  <c r="AM127" i="3"/>
  <c r="G52" i="7"/>
  <c r="O57" i="7"/>
  <c r="H57" i="7"/>
  <c r="J57" i="7"/>
  <c r="M57" i="7"/>
  <c r="I57" i="7"/>
  <c r="N57" i="7"/>
  <c r="L57" i="7"/>
  <c r="K57" i="7"/>
  <c r="H34" i="3"/>
  <c r="AN31" i="3"/>
  <c r="P57" i="7"/>
  <c r="Q57" i="7"/>
  <c r="AO31" i="3"/>
  <c r="H73" i="7"/>
  <c r="AP31" i="3"/>
  <c r="AQ31" i="3"/>
  <c r="S57" i="7"/>
  <c r="T57" i="7"/>
  <c r="R57" i="7"/>
  <c r="AR31" i="3"/>
  <c r="U57" i="7"/>
  <c r="AS31" i="3"/>
  <c r="AT31" i="3"/>
  <c r="V57" i="7"/>
  <c r="AX53" i="3"/>
  <c r="AX48" i="3"/>
  <c r="AY53" i="3"/>
  <c r="R48" i="3"/>
  <c r="AZ53" i="3"/>
  <c r="AU31" i="3"/>
  <c r="T48" i="3"/>
  <c r="T53" i="3"/>
  <c r="AY48" i="3"/>
  <c r="AY56" i="3"/>
  <c r="R53" i="3"/>
  <c r="AZ48" i="3"/>
  <c r="S48" i="3"/>
  <c r="S53" i="3"/>
  <c r="AZ56" i="3"/>
  <c r="AX56" i="3"/>
  <c r="R56" i="3"/>
  <c r="S56" i="3"/>
  <c r="BA48" i="3"/>
  <c r="T56" i="3"/>
  <c r="AV31" i="3"/>
  <c r="X57" i="7"/>
  <c r="BA53" i="3"/>
  <c r="U48" i="3"/>
  <c r="U53" i="3"/>
  <c r="W57" i="7"/>
  <c r="U56" i="3"/>
  <c r="AW31" i="3"/>
  <c r="BA56" i="3"/>
  <c r="Y57" i="7"/>
  <c r="BB53" i="3"/>
  <c r="AX31" i="3"/>
  <c r="V48" i="3"/>
  <c r="Z57" i="7"/>
  <c r="BB48" i="3"/>
  <c r="V53" i="3"/>
  <c r="BB56" i="3"/>
  <c r="X48" i="3"/>
  <c r="X53" i="3"/>
  <c r="AY31" i="3"/>
  <c r="BC48" i="3"/>
  <c r="BC53" i="3"/>
  <c r="BD48" i="3"/>
  <c r="W48" i="3"/>
  <c r="W53" i="3"/>
  <c r="V56" i="3"/>
  <c r="BD53" i="3"/>
  <c r="W56" i="3"/>
  <c r="AA57" i="7"/>
  <c r="BD56" i="3"/>
  <c r="BC56" i="3"/>
  <c r="AZ31" i="3"/>
  <c r="X56" i="3"/>
  <c r="Z48" i="3"/>
  <c r="BE48" i="3"/>
  <c r="BE53" i="3"/>
  <c r="Y48" i="3"/>
  <c r="BF53" i="3"/>
  <c r="BA31" i="3"/>
  <c r="Z53" i="3"/>
  <c r="Y53" i="3"/>
  <c r="Y56" i="3"/>
  <c r="AB57" i="7"/>
  <c r="BF48" i="3"/>
  <c r="Z56" i="3"/>
  <c r="BF56" i="3"/>
  <c r="AC57" i="7"/>
  <c r="AD57" i="7"/>
  <c r="BB31" i="3"/>
  <c r="BE56" i="3"/>
  <c r="BC31" i="3"/>
  <c r="AA48" i="3"/>
  <c r="AA53" i="3"/>
  <c r="BG48" i="3"/>
  <c r="BG53" i="3"/>
  <c r="AA56" i="3"/>
  <c r="BG56" i="3"/>
  <c r="AB48" i="3"/>
  <c r="AB53" i="3"/>
  <c r="BH48" i="3"/>
  <c r="BD31" i="3"/>
  <c r="BH53" i="3"/>
  <c r="AE57" i="7"/>
  <c r="AB56" i="3"/>
  <c r="BJ53" i="3"/>
  <c r="BH56" i="3"/>
  <c r="BI48" i="3"/>
  <c r="AF57" i="7"/>
  <c r="AD48" i="3"/>
  <c r="AC53" i="3"/>
  <c r="AC48" i="3"/>
  <c r="BJ48" i="3"/>
  <c r="BE31" i="3"/>
  <c r="BI53" i="3"/>
  <c r="AD53" i="3"/>
  <c r="BJ56" i="3"/>
  <c r="BF31" i="3"/>
  <c r="AC56" i="3"/>
  <c r="AD56" i="3"/>
  <c r="BI56" i="3"/>
  <c r="AE48" i="3"/>
  <c r="AE53" i="3"/>
  <c r="BL51" i="3"/>
  <c r="BL55" i="3"/>
  <c r="BK48" i="3"/>
  <c r="BK53" i="3"/>
  <c r="BG31" i="3"/>
  <c r="AE56" i="3"/>
  <c r="BK56" i="3"/>
  <c r="BL52" i="3"/>
  <c r="BL48" i="3"/>
  <c r="AF48" i="3"/>
  <c r="AF53" i="3"/>
  <c r="BH31" i="3"/>
  <c r="BL53" i="3"/>
  <c r="AF56" i="3"/>
  <c r="BL56" i="3"/>
  <c r="BI31" i="3"/>
  <c r="BJ31" i="3"/>
  <c r="BK31" i="3"/>
  <c r="BL31" i="3"/>
  <c r="AN32" i="3"/>
  <c r="AO32" i="3"/>
  <c r="AP32" i="3"/>
  <c r="AQ32" i="3"/>
  <c r="AR32" i="3"/>
  <c r="AS32" i="3"/>
  <c r="AT32" i="3"/>
  <c r="AU32" i="3"/>
  <c r="AV32" i="3"/>
  <c r="AW32" i="3"/>
  <c r="AX32" i="3"/>
  <c r="AY32" i="3"/>
  <c r="AZ32" i="3"/>
  <c r="BA32" i="3"/>
  <c r="BB32" i="3"/>
  <c r="BC32" i="3"/>
  <c r="BD32" i="3"/>
  <c r="BE32" i="3"/>
  <c r="BF32" i="3"/>
  <c r="BG32" i="3"/>
  <c r="BH32" i="3"/>
  <c r="BI32" i="3"/>
  <c r="BJ32" i="3"/>
  <c r="BK32" i="3"/>
  <c r="AE216" i="3"/>
  <c r="BK220" i="3"/>
  <c r="CP38" i="3"/>
  <c r="H110" i="3"/>
  <c r="I110" i="3"/>
  <c r="J110" i="3"/>
  <c r="K110" i="3"/>
  <c r="L110" i="3"/>
  <c r="M110" i="3"/>
  <c r="N110" i="3"/>
  <c r="O110" i="3"/>
  <c r="P110" i="3"/>
  <c r="Q110" i="3"/>
  <c r="R216" i="3"/>
  <c r="S216" i="3"/>
  <c r="T216" i="3"/>
  <c r="U216" i="3"/>
  <c r="V216" i="3"/>
  <c r="W216" i="3"/>
  <c r="X216" i="3"/>
  <c r="Y216" i="3"/>
  <c r="Z216" i="3"/>
  <c r="AA216" i="3"/>
  <c r="AB216" i="3"/>
  <c r="AC216" i="3"/>
  <c r="AD216" i="3"/>
  <c r="AF216" i="3"/>
  <c r="AN110" i="3"/>
  <c r="AO110" i="3"/>
  <c r="AP110" i="3"/>
  <c r="AQ110" i="3"/>
  <c r="AR110" i="3"/>
  <c r="AS110" i="3"/>
  <c r="AT110" i="3"/>
  <c r="AU110" i="3"/>
  <c r="AV110" i="3"/>
  <c r="AW110" i="3"/>
  <c r="AX220" i="3"/>
  <c r="AY220" i="3"/>
  <c r="AZ220" i="3"/>
  <c r="BA220" i="3"/>
  <c r="BB220" i="3"/>
  <c r="BC220" i="3"/>
  <c r="BD220" i="3"/>
  <c r="BE220" i="3"/>
  <c r="BF220" i="3"/>
  <c r="BG220" i="3"/>
  <c r="BH220" i="3"/>
  <c r="BI220" i="3"/>
  <c r="BJ220" i="3"/>
  <c r="BL220" i="3"/>
  <c r="CQ38" i="3"/>
  <c r="AE73" i="7"/>
  <c r="AE71" i="7"/>
  <c r="CO38" i="3"/>
  <c r="CP35" i="3"/>
  <c r="CN38" i="3"/>
  <c r="CM38" i="3"/>
  <c r="AF73" i="7"/>
  <c r="AF71" i="7"/>
  <c r="CO35" i="3"/>
  <c r="AE28" i="3"/>
  <c r="AE161" i="3"/>
  <c r="BK28" i="3"/>
  <c r="BK161" i="3"/>
  <c r="CP13" i="3"/>
  <c r="BK213" i="3"/>
  <c r="BK215" i="3"/>
  <c r="CP36" i="3"/>
  <c r="CP37" i="3"/>
  <c r="BK212" i="3"/>
  <c r="BK214" i="3"/>
  <c r="CQ35" i="3"/>
  <c r="AD73" i="7"/>
  <c r="AD71" i="7"/>
  <c r="AB73" i="7"/>
  <c r="AB71" i="7"/>
  <c r="CO36" i="3"/>
  <c r="AD28" i="3"/>
  <c r="AD161" i="3"/>
  <c r="BJ28" i="3"/>
  <c r="BJ161" i="3"/>
  <c r="CO13" i="3"/>
  <c r="BJ213" i="3"/>
  <c r="BJ215" i="3"/>
  <c r="BJ212" i="3"/>
  <c r="BJ214" i="3"/>
  <c r="CO37" i="3"/>
  <c r="AC73" i="7"/>
  <c r="AC71" i="7"/>
  <c r="CL38" i="3"/>
  <c r="CQ37" i="3"/>
  <c r="BL213" i="3"/>
  <c r="BL215" i="3"/>
  <c r="CQ36" i="3"/>
  <c r="BL212" i="3"/>
  <c r="BL214" i="3"/>
  <c r="AF28" i="3"/>
  <c r="AF161" i="3"/>
  <c r="BL28" i="3"/>
  <c r="BL161" i="3"/>
  <c r="CQ13" i="3"/>
  <c r="CM35" i="3"/>
  <c r="CN35" i="3"/>
  <c r="AE211" i="3"/>
  <c r="AE208" i="3"/>
  <c r="AE210" i="3"/>
  <c r="CL35" i="3"/>
  <c r="BI213" i="3"/>
  <c r="BI215" i="3"/>
  <c r="CN36" i="3"/>
  <c r="AC28" i="3"/>
  <c r="AC161" i="3"/>
  <c r="BI28" i="3"/>
  <c r="BI161" i="3"/>
  <c r="CN13" i="3"/>
  <c r="BI212" i="3"/>
  <c r="BI214" i="3"/>
  <c r="CN37" i="3"/>
  <c r="CK38" i="3"/>
  <c r="CM37" i="3"/>
  <c r="BH212" i="3"/>
  <c r="BH214" i="3"/>
  <c r="CM36" i="3"/>
  <c r="AB28" i="3"/>
  <c r="AB161" i="3"/>
  <c r="BH28" i="3"/>
  <c r="BH161" i="3"/>
  <c r="CM13" i="3"/>
  <c r="BH213" i="3"/>
  <c r="BH215" i="3"/>
  <c r="AA73" i="7"/>
  <c r="AA71" i="7"/>
  <c r="BL34" i="3"/>
  <c r="BL44" i="3"/>
  <c r="BL45" i="3"/>
  <c r="BL41" i="3"/>
  <c r="BL46" i="3"/>
  <c r="AE163" i="3"/>
  <c r="BK163" i="3"/>
  <c r="CP15" i="3"/>
  <c r="AD211" i="3"/>
  <c r="AD208" i="3"/>
  <c r="AD210" i="3"/>
  <c r="AF208" i="3"/>
  <c r="AF210" i="3"/>
  <c r="AF211" i="3"/>
  <c r="CJ38" i="3"/>
  <c r="AA28" i="3"/>
  <c r="AA161" i="3"/>
  <c r="BG28" i="3"/>
  <c r="BG161" i="3"/>
  <c r="CL13" i="3"/>
  <c r="CL36" i="3"/>
  <c r="BG212" i="3"/>
  <c r="BG214" i="3"/>
  <c r="BG213" i="3"/>
  <c r="BG215" i="3"/>
  <c r="CL37" i="3"/>
  <c r="CK35" i="3"/>
  <c r="Z73" i="7"/>
  <c r="Z71" i="7"/>
  <c r="BL32" i="3"/>
  <c r="BL168" i="3"/>
  <c r="AF34" i="3"/>
  <c r="AF41" i="3"/>
  <c r="AF44" i="3"/>
  <c r="AC208" i="3"/>
  <c r="AC210" i="3"/>
  <c r="AC211" i="3"/>
  <c r="AD163" i="3"/>
  <c r="BJ163" i="3"/>
  <c r="CO15" i="3"/>
  <c r="AF163" i="3"/>
  <c r="BL163" i="3"/>
  <c r="CQ15" i="3"/>
  <c r="Y73" i="7"/>
  <c r="Y71" i="7"/>
  <c r="CI38" i="3"/>
  <c r="CK37" i="3"/>
  <c r="BF213" i="3"/>
  <c r="BF215" i="3"/>
  <c r="CK36" i="3"/>
  <c r="BF212" i="3"/>
  <c r="BF214" i="3"/>
  <c r="Z28" i="3"/>
  <c r="Z161" i="3"/>
  <c r="BF28" i="3"/>
  <c r="BF161" i="3"/>
  <c r="CK13" i="3"/>
  <c r="CJ35" i="3"/>
  <c r="BK34" i="3"/>
  <c r="BK44" i="3"/>
  <c r="BK45" i="3"/>
  <c r="BK41" i="3"/>
  <c r="BK46" i="3"/>
  <c r="BK168" i="3"/>
  <c r="AW118" i="3"/>
  <c r="AV118" i="3"/>
  <c r="AU118" i="3"/>
  <c r="AT118" i="3"/>
  <c r="AS118" i="3"/>
  <c r="AR118" i="3"/>
  <c r="AQ118" i="3"/>
  <c r="AP118" i="3"/>
  <c r="AO118" i="3"/>
  <c r="AN118" i="3"/>
  <c r="BL30" i="3"/>
  <c r="BL117" i="3"/>
  <c r="AC163" i="3"/>
  <c r="BI163" i="3"/>
  <c r="CN15" i="3"/>
  <c r="AB211" i="3"/>
  <c r="AB208" i="3"/>
  <c r="AB210" i="3"/>
  <c r="CI35" i="3"/>
  <c r="CH38" i="3"/>
  <c r="BJ34" i="3"/>
  <c r="BJ44" i="3"/>
  <c r="BJ45" i="3"/>
  <c r="BJ41" i="3"/>
  <c r="BJ46" i="3"/>
  <c r="BE213" i="3"/>
  <c r="BE215" i="3"/>
  <c r="BE212" i="3"/>
  <c r="BE214" i="3"/>
  <c r="CJ36" i="3"/>
  <c r="Y28" i="3"/>
  <c r="Y161" i="3"/>
  <c r="BE28" i="3"/>
  <c r="BE161" i="3"/>
  <c r="CJ13" i="3"/>
  <c r="CJ37" i="3"/>
  <c r="X73" i="7"/>
  <c r="X71" i="7"/>
  <c r="AE34" i="3"/>
  <c r="AE41" i="3"/>
  <c r="AE44" i="3"/>
  <c r="BJ168" i="3"/>
  <c r="BK30" i="3"/>
  <c r="BK117" i="3"/>
  <c r="AB163" i="3"/>
  <c r="BH163" i="3"/>
  <c r="CM15" i="3"/>
  <c r="AA208" i="3"/>
  <c r="AA210" i="3"/>
  <c r="AA211" i="3"/>
  <c r="CH35" i="3"/>
  <c r="BI34" i="3"/>
  <c r="BI44" i="3"/>
  <c r="BI45" i="3"/>
  <c r="BI41" i="3"/>
  <c r="BI46" i="3"/>
  <c r="CG38" i="3"/>
  <c r="CI36" i="3"/>
  <c r="BD212" i="3"/>
  <c r="BD214" i="3"/>
  <c r="BD213" i="3"/>
  <c r="BD215" i="3"/>
  <c r="CI37" i="3"/>
  <c r="X28" i="3"/>
  <c r="X161" i="3"/>
  <c r="BD28" i="3"/>
  <c r="BD161" i="3"/>
  <c r="CI13" i="3"/>
  <c r="W73" i="7"/>
  <c r="W71" i="7"/>
  <c r="AD34" i="3"/>
  <c r="AD41" i="3"/>
  <c r="AD44" i="3"/>
  <c r="BI168" i="3"/>
  <c r="BJ117" i="3"/>
  <c r="BJ30" i="3"/>
  <c r="AA163" i="3"/>
  <c r="BG163" i="3"/>
  <c r="CL15" i="3"/>
  <c r="Z211" i="3"/>
  <c r="Z208" i="3"/>
  <c r="Z210" i="3"/>
  <c r="W28" i="3"/>
  <c r="W161" i="3"/>
  <c r="BC28" i="3"/>
  <c r="BC161" i="3"/>
  <c r="CH13" i="3"/>
  <c r="BC213" i="3"/>
  <c r="BC215" i="3"/>
  <c r="CH37" i="3"/>
  <c r="BC212" i="3"/>
  <c r="BC214" i="3"/>
  <c r="CH36" i="3"/>
  <c r="CF38" i="3"/>
  <c r="BH34" i="3"/>
  <c r="BH44" i="3"/>
  <c r="BH45" i="3"/>
  <c r="BH41" i="3"/>
  <c r="BH46" i="3"/>
  <c r="BG34" i="3"/>
  <c r="BG44" i="3"/>
  <c r="BG45" i="3"/>
  <c r="BG41" i="3"/>
  <c r="BG46" i="3"/>
  <c r="CG35" i="3"/>
  <c r="V73" i="7"/>
  <c r="V71" i="7"/>
  <c r="AC34" i="3"/>
  <c r="AC41" i="3"/>
  <c r="AC44" i="3"/>
  <c r="BI117" i="3"/>
  <c r="BI30" i="3"/>
  <c r="BH168" i="3"/>
  <c r="Z163" i="3"/>
  <c r="BF163" i="3"/>
  <c r="CK15" i="3"/>
  <c r="Y208" i="3"/>
  <c r="Y210" i="3"/>
  <c r="Y211" i="3"/>
  <c r="CF35" i="3"/>
  <c r="U73" i="7"/>
  <c r="U71" i="7"/>
  <c r="BF34" i="3"/>
  <c r="BF44" i="3"/>
  <c r="BF45" i="3"/>
  <c r="BF41" i="3"/>
  <c r="BF46" i="3"/>
  <c r="CE38" i="3"/>
  <c r="BB213" i="3"/>
  <c r="BB215" i="3"/>
  <c r="CG37" i="3"/>
  <c r="CG36" i="3"/>
  <c r="V28" i="3"/>
  <c r="V161" i="3"/>
  <c r="BB28" i="3"/>
  <c r="BB161" i="3"/>
  <c r="CG13" i="3"/>
  <c r="BB212" i="3"/>
  <c r="BB214" i="3"/>
  <c r="BG168" i="3"/>
  <c r="BH117" i="3"/>
  <c r="BH30" i="3"/>
  <c r="AB34" i="3"/>
  <c r="AB41" i="3"/>
  <c r="AB44" i="3"/>
  <c r="Y163" i="3"/>
  <c r="BE163" i="3"/>
  <c r="CJ15" i="3"/>
  <c r="X211" i="3"/>
  <c r="X208" i="3"/>
  <c r="X210" i="3"/>
  <c r="T73" i="7"/>
  <c r="T71" i="7"/>
  <c r="BE34" i="3"/>
  <c r="BE44" i="3"/>
  <c r="BE45" i="3"/>
  <c r="BE41" i="3"/>
  <c r="BE46" i="3"/>
  <c r="CD38" i="3"/>
  <c r="BA212" i="3"/>
  <c r="BA214" i="3"/>
  <c r="CF37" i="3"/>
  <c r="CF36" i="3"/>
  <c r="U28" i="3"/>
  <c r="U161" i="3"/>
  <c r="BA28" i="3"/>
  <c r="BA161" i="3"/>
  <c r="CF13" i="3"/>
  <c r="BA213" i="3"/>
  <c r="BA215" i="3"/>
  <c r="CE35" i="3"/>
  <c r="BF168" i="3"/>
  <c r="AA34" i="3"/>
  <c r="AA41" i="3"/>
  <c r="AA44" i="3"/>
  <c r="BG30" i="3"/>
  <c r="BG117" i="3"/>
  <c r="W211" i="3"/>
  <c r="W208" i="3"/>
  <c r="W210" i="3"/>
  <c r="X163" i="3"/>
  <c r="BD163" i="3"/>
  <c r="CI15" i="3"/>
  <c r="AZ213" i="3"/>
  <c r="AZ215" i="3"/>
  <c r="AZ212" i="3"/>
  <c r="AZ214" i="3"/>
  <c r="T28" i="3"/>
  <c r="T161" i="3"/>
  <c r="AZ28" i="3"/>
  <c r="AZ161" i="3"/>
  <c r="CE13" i="3"/>
  <c r="CE37" i="3"/>
  <c r="CE36" i="3"/>
  <c r="S73" i="7"/>
  <c r="S71" i="7"/>
  <c r="CC38" i="3"/>
  <c r="CD35" i="3"/>
  <c r="BD34" i="3"/>
  <c r="BD44" i="3"/>
  <c r="BD45" i="3"/>
  <c r="BD41" i="3"/>
  <c r="BD46" i="3"/>
  <c r="Z34" i="3"/>
  <c r="Z41" i="3"/>
  <c r="Z44" i="3"/>
  <c r="BE168" i="3"/>
  <c r="BF30" i="3"/>
  <c r="BF117" i="3"/>
  <c r="W163" i="3"/>
  <c r="BC163" i="3"/>
  <c r="CH15" i="3"/>
  <c r="V208" i="3"/>
  <c r="V210" i="3"/>
  <c r="V211" i="3"/>
  <c r="CC35" i="3"/>
  <c r="AY213" i="3"/>
  <c r="AY215" i="3"/>
  <c r="AY212" i="3"/>
  <c r="AY214" i="3"/>
  <c r="CD37" i="3"/>
  <c r="S28" i="3"/>
  <c r="S161" i="3"/>
  <c r="AY28" i="3"/>
  <c r="AY161" i="3"/>
  <c r="CD13" i="3"/>
  <c r="CD36" i="3"/>
  <c r="R73" i="7"/>
  <c r="R71" i="7"/>
  <c r="BC34" i="3"/>
  <c r="BC44" i="3"/>
  <c r="BC45" i="3"/>
  <c r="BC41" i="3"/>
  <c r="BC46" i="3"/>
  <c r="BE30" i="3"/>
  <c r="BE117" i="3"/>
  <c r="Y34" i="3"/>
  <c r="Y41" i="3"/>
  <c r="Y44" i="3"/>
  <c r="BD168" i="3"/>
  <c r="U208" i="3"/>
  <c r="U210" i="3"/>
  <c r="U211" i="3"/>
  <c r="V163" i="3"/>
  <c r="BB163" i="3"/>
  <c r="CG15" i="3"/>
  <c r="Q73" i="7"/>
  <c r="BB34" i="3"/>
  <c r="BB44" i="3"/>
  <c r="BB45" i="3"/>
  <c r="BB41" i="3"/>
  <c r="BB46" i="3"/>
  <c r="CC36" i="3"/>
  <c r="AX212" i="3"/>
  <c r="AX214" i="3"/>
  <c r="CC37" i="3"/>
  <c r="AX213" i="3"/>
  <c r="AX215" i="3"/>
  <c r="R28" i="3"/>
  <c r="R161" i="3"/>
  <c r="AX28" i="3"/>
  <c r="AX161" i="3"/>
  <c r="CC13" i="3"/>
  <c r="X34" i="3"/>
  <c r="X41" i="3"/>
  <c r="X44" i="3"/>
  <c r="BC168" i="3"/>
  <c r="BD117" i="3"/>
  <c r="BD30" i="3"/>
  <c r="U163" i="3"/>
  <c r="BA163" i="3"/>
  <c r="CF15" i="3"/>
  <c r="T211" i="3"/>
  <c r="T208" i="3"/>
  <c r="T210" i="3"/>
  <c r="BA34" i="3"/>
  <c r="BA44" i="3"/>
  <c r="BA45" i="3"/>
  <c r="BA41" i="3"/>
  <c r="BA46" i="3"/>
  <c r="W34" i="3"/>
  <c r="W41" i="3"/>
  <c r="W44" i="3"/>
  <c r="BB168" i="3"/>
  <c r="BC117" i="3"/>
  <c r="BC30" i="3"/>
  <c r="S208" i="3"/>
  <c r="S210" i="3"/>
  <c r="S211" i="3"/>
  <c r="T163" i="3"/>
  <c r="AZ163" i="3"/>
  <c r="CE15" i="3"/>
  <c r="AZ34" i="3"/>
  <c r="AZ44" i="3"/>
  <c r="AZ45" i="3"/>
  <c r="AZ41" i="3"/>
  <c r="AZ46" i="3"/>
  <c r="P73" i="7"/>
  <c r="V34" i="3"/>
  <c r="V41" i="3"/>
  <c r="V44" i="3"/>
  <c r="BA168" i="3"/>
  <c r="BB117" i="3"/>
  <c r="BB30" i="3"/>
  <c r="S163" i="3"/>
  <c r="AY163" i="3"/>
  <c r="CD15" i="3"/>
  <c r="R211" i="3"/>
  <c r="R208" i="3"/>
  <c r="R210" i="3"/>
  <c r="O73" i="7"/>
  <c r="BA117" i="3"/>
  <c r="BA30" i="3"/>
  <c r="U34" i="3"/>
  <c r="U41" i="3"/>
  <c r="U44" i="3"/>
  <c r="AZ168" i="3"/>
  <c r="R163" i="3"/>
  <c r="AX163" i="3"/>
  <c r="CC15" i="3"/>
  <c r="AY34" i="3"/>
  <c r="AY44" i="3"/>
  <c r="AY45" i="3"/>
  <c r="AY41" i="3"/>
  <c r="AY46" i="3"/>
  <c r="AX34" i="3"/>
  <c r="AX44" i="3"/>
  <c r="AX45" i="3"/>
  <c r="AX41" i="3"/>
  <c r="AX46" i="3"/>
  <c r="M73" i="7"/>
  <c r="N73" i="7"/>
  <c r="T34" i="3"/>
  <c r="T41" i="3"/>
  <c r="T44" i="3"/>
  <c r="AY168" i="3"/>
  <c r="AZ30" i="3"/>
  <c r="AZ117" i="3"/>
  <c r="Q163" i="3"/>
  <c r="AW163" i="3"/>
  <c r="CB15" i="3"/>
  <c r="L73" i="7"/>
  <c r="AW34" i="3"/>
  <c r="AW44" i="3"/>
  <c r="AW45" i="3"/>
  <c r="AW41" i="3"/>
  <c r="AW46" i="3"/>
  <c r="AX168" i="3"/>
  <c r="S34" i="3"/>
  <c r="S41" i="3"/>
  <c r="S44" i="3"/>
  <c r="AY117" i="3"/>
  <c r="AY30" i="3"/>
  <c r="P163" i="3"/>
  <c r="AV163" i="3"/>
  <c r="CA15" i="3"/>
  <c r="K73" i="7"/>
  <c r="R34" i="3"/>
  <c r="R41" i="3"/>
  <c r="R44" i="3"/>
  <c r="AW168" i="3"/>
  <c r="AX117" i="3"/>
  <c r="AX30" i="3"/>
  <c r="O163" i="3"/>
  <c r="AU163" i="3"/>
  <c r="BZ15" i="3"/>
  <c r="AV34" i="3"/>
  <c r="AV44" i="3"/>
  <c r="AV45" i="3"/>
  <c r="AV41" i="3"/>
  <c r="AV46" i="3"/>
  <c r="J73" i="7"/>
  <c r="AU34" i="3"/>
  <c r="AU44" i="3"/>
  <c r="AU45" i="3"/>
  <c r="AU41" i="3"/>
  <c r="AU46" i="3"/>
  <c r="Q34" i="3"/>
  <c r="Q41" i="3"/>
  <c r="Q44" i="3"/>
  <c r="AV168" i="3"/>
  <c r="AW30" i="3"/>
  <c r="AW117" i="3"/>
  <c r="N163" i="3"/>
  <c r="AT163" i="3"/>
  <c r="BY15" i="3"/>
  <c r="I73" i="7"/>
  <c r="AT34" i="3"/>
  <c r="AT44" i="3"/>
  <c r="AT45" i="3"/>
  <c r="AT41" i="3"/>
  <c r="AT46" i="3"/>
  <c r="AU168" i="3"/>
  <c r="AV117" i="3"/>
  <c r="AV30" i="3"/>
  <c r="P34" i="3"/>
  <c r="P41" i="3"/>
  <c r="P44" i="3"/>
  <c r="M163" i="3"/>
  <c r="AS163" i="3"/>
  <c r="BX15" i="3"/>
  <c r="AS34" i="3"/>
  <c r="AS44" i="3"/>
  <c r="AS45" i="3"/>
  <c r="AS41" i="3"/>
  <c r="AS46" i="3"/>
  <c r="O34" i="3"/>
  <c r="O41" i="3"/>
  <c r="O44" i="3"/>
  <c r="AT168" i="3"/>
  <c r="AU30" i="3"/>
  <c r="AU117" i="3"/>
  <c r="L163" i="3"/>
  <c r="AR163" i="3"/>
  <c r="BW15" i="3"/>
  <c r="AR34" i="3"/>
  <c r="AR44" i="3"/>
  <c r="AR45" i="3"/>
  <c r="AR41" i="3"/>
  <c r="AR46" i="3"/>
  <c r="N34" i="3"/>
  <c r="N41" i="3"/>
  <c r="N44" i="3"/>
  <c r="AS168" i="3"/>
  <c r="AT30" i="3"/>
  <c r="AT117" i="3"/>
  <c r="J163" i="3"/>
  <c r="AP163" i="3"/>
  <c r="BU15" i="3"/>
  <c r="K163" i="3"/>
  <c r="AQ163" i="3"/>
  <c r="BV15" i="3"/>
  <c r="M34" i="3"/>
  <c r="M41" i="3"/>
  <c r="M44" i="3"/>
  <c r="I163" i="3"/>
  <c r="AO163" i="3"/>
  <c r="BT15" i="3"/>
  <c r="AS117" i="3"/>
  <c r="AS30" i="3"/>
  <c r="AR168" i="3"/>
  <c r="AP34" i="3"/>
  <c r="AP44" i="3"/>
  <c r="AP45" i="3"/>
  <c r="AP41" i="3"/>
  <c r="AP46" i="3"/>
  <c r="AQ34" i="3"/>
  <c r="AQ44" i="3"/>
  <c r="AQ45" i="3"/>
  <c r="AQ41" i="3"/>
  <c r="AQ46" i="3"/>
  <c r="AW51" i="3"/>
  <c r="AW48" i="3"/>
  <c r="AW55" i="3"/>
  <c r="AW53" i="3"/>
  <c r="AW56" i="3"/>
  <c r="AQ168" i="3"/>
  <c r="AR30" i="3"/>
  <c r="AR117" i="3"/>
  <c r="P51" i="3"/>
  <c r="P48" i="3"/>
  <c r="P55" i="3"/>
  <c r="P53" i="3"/>
  <c r="P56" i="3"/>
  <c r="H163" i="3"/>
  <c r="AN163" i="3"/>
  <c r="BS15" i="3"/>
  <c r="L34" i="3"/>
  <c r="L41" i="3"/>
  <c r="L44" i="3"/>
  <c r="Q51" i="3"/>
  <c r="Q48" i="3"/>
  <c r="Q55" i="3"/>
  <c r="Q53" i="3"/>
  <c r="Q56" i="3"/>
  <c r="AO34" i="3"/>
  <c r="AO44" i="3"/>
  <c r="AO45" i="3"/>
  <c r="AO41" i="3"/>
  <c r="AO46" i="3"/>
  <c r="AV51" i="3"/>
  <c r="AV48" i="3"/>
  <c r="AV55" i="3"/>
  <c r="AV53" i="3"/>
  <c r="AV56" i="3"/>
  <c r="K34" i="3"/>
  <c r="K41" i="3"/>
  <c r="K44" i="3"/>
  <c r="AP168" i="3"/>
  <c r="AQ30" i="3"/>
  <c r="AQ117" i="3"/>
  <c r="AO51" i="3"/>
  <c r="AO48" i="3"/>
  <c r="AO55" i="3"/>
  <c r="AO53" i="3"/>
  <c r="AO56" i="3"/>
  <c r="AT51" i="3"/>
  <c r="AT48" i="3"/>
  <c r="AT55" i="3"/>
  <c r="AT53" i="3"/>
  <c r="AT56" i="3"/>
  <c r="AS51" i="3"/>
  <c r="AS48" i="3"/>
  <c r="AS55" i="3"/>
  <c r="AS53" i="3"/>
  <c r="AS56" i="3"/>
  <c r="AP30" i="3"/>
  <c r="AP117" i="3"/>
  <c r="AN34" i="3"/>
  <c r="AN44" i="3"/>
  <c r="AN45" i="3"/>
  <c r="AN41" i="3"/>
  <c r="AN46" i="3"/>
  <c r="H51" i="3"/>
  <c r="H48" i="3"/>
  <c r="H55" i="3"/>
  <c r="H53" i="3"/>
  <c r="H56" i="3"/>
  <c r="L51" i="3"/>
  <c r="L48" i="3"/>
  <c r="L55" i="3"/>
  <c r="L53" i="3"/>
  <c r="L56" i="3"/>
  <c r="J51" i="3"/>
  <c r="J48" i="3"/>
  <c r="J55" i="3"/>
  <c r="J53" i="3"/>
  <c r="J56" i="3"/>
  <c r="AU51" i="3"/>
  <c r="AU48" i="3"/>
  <c r="AU55" i="3"/>
  <c r="AU53" i="3"/>
  <c r="AU56" i="3"/>
  <c r="AR51" i="3"/>
  <c r="AR48" i="3"/>
  <c r="AR55" i="3"/>
  <c r="AR53" i="3"/>
  <c r="AR56" i="3"/>
  <c r="M51" i="3"/>
  <c r="M48" i="3"/>
  <c r="M55" i="3"/>
  <c r="M53" i="3"/>
  <c r="M56" i="3"/>
  <c r="AO168" i="3"/>
  <c r="N51" i="3"/>
  <c r="N48" i="3"/>
  <c r="N55" i="3"/>
  <c r="N53" i="3"/>
  <c r="N56" i="3"/>
  <c r="J34" i="3"/>
  <c r="J41" i="3"/>
  <c r="J44" i="3"/>
  <c r="I51" i="3"/>
  <c r="I48" i="3"/>
  <c r="I55" i="3"/>
  <c r="I53" i="3"/>
  <c r="I56" i="3"/>
  <c r="AN51" i="3"/>
  <c r="AN48" i="3"/>
  <c r="AN55" i="3"/>
  <c r="AN53" i="3"/>
  <c r="AN56" i="3"/>
  <c r="O51" i="3"/>
  <c r="O48" i="3"/>
  <c r="O55" i="3"/>
  <c r="O53" i="3"/>
  <c r="O56" i="3"/>
  <c r="AQ51" i="3"/>
  <c r="AQ48" i="3"/>
  <c r="AQ55" i="3"/>
  <c r="AQ53" i="3"/>
  <c r="AQ56" i="3"/>
  <c r="AP51" i="3"/>
  <c r="AP48" i="3"/>
  <c r="AP55" i="3"/>
  <c r="AP53" i="3"/>
  <c r="AP56" i="3"/>
  <c r="AN168" i="3"/>
  <c r="I34" i="3"/>
  <c r="I41" i="3"/>
  <c r="I44" i="3"/>
  <c r="K51" i="3"/>
  <c r="K48" i="3"/>
  <c r="K55" i="3"/>
  <c r="K53" i="3"/>
  <c r="K56" i="3"/>
  <c r="AO117" i="3"/>
  <c r="AO30" i="3"/>
  <c r="H41" i="3"/>
  <c r="H44" i="3"/>
  <c r="AN30" i="3"/>
  <c r="AN117" i="3"/>
  <c r="AW52" i="3"/>
  <c r="AP52" i="3"/>
  <c r="AO52" i="3"/>
  <c r="AN52" i="3"/>
  <c r="AS52" i="3"/>
  <c r="AR52" i="3"/>
  <c r="AQ52" i="3"/>
  <c r="AV52" i="3"/>
  <c r="AU52" i="3"/>
  <c r="AT52" i="3"/>
  <c r="AF169" i="3"/>
  <c r="AF173" i="3"/>
  <c r="AE169" i="3"/>
  <c r="AE173" i="3"/>
  <c r="AD169" i="3"/>
  <c r="AD173" i="3"/>
  <c r="AC169" i="3"/>
  <c r="AC173" i="3"/>
  <c r="AB169" i="3"/>
  <c r="AB173" i="3"/>
  <c r="AA169" i="3"/>
  <c r="AA173" i="3"/>
  <c r="Z169" i="3"/>
  <c r="Z173" i="3"/>
  <c r="Y169" i="3"/>
  <c r="Y173" i="3"/>
  <c r="X169" i="3"/>
  <c r="X173" i="3"/>
  <c r="W169" i="3"/>
  <c r="W173" i="3"/>
  <c r="V169" i="3"/>
  <c r="V173" i="3"/>
  <c r="U169" i="3"/>
  <c r="U173" i="3"/>
  <c r="T169" i="3"/>
  <c r="T173" i="3"/>
  <c r="S169" i="3"/>
  <c r="S173" i="3"/>
  <c r="R169" i="3"/>
  <c r="R173" i="3"/>
  <c r="Q169" i="3"/>
  <c r="Q173" i="3"/>
  <c r="P169" i="3"/>
  <c r="P173" i="3"/>
  <c r="O169" i="3"/>
  <c r="O173" i="3"/>
  <c r="N169" i="3"/>
  <c r="N173" i="3"/>
  <c r="M169" i="3"/>
  <c r="M173" i="3"/>
  <c r="L169" i="3"/>
  <c r="L173" i="3"/>
  <c r="K169" i="3"/>
  <c r="K173" i="3"/>
  <c r="J169" i="3"/>
  <c r="J173" i="3"/>
  <c r="I169" i="3"/>
  <c r="I173" i="3"/>
  <c r="Q52" i="3"/>
  <c r="P52" i="3"/>
  <c r="O52" i="3"/>
  <c r="N52" i="3"/>
  <c r="M52" i="3"/>
  <c r="L52" i="3"/>
  <c r="K52" i="3"/>
  <c r="J52" i="3"/>
  <c r="I52" i="3"/>
  <c r="H52" i="3"/>
  <c r="BL167" i="3"/>
  <c r="BL175" i="3"/>
  <c r="BK167" i="3"/>
  <c r="BK175" i="3"/>
  <c r="BJ167" i="3"/>
  <c r="BJ175" i="3"/>
  <c r="BI167" i="3"/>
  <c r="BI175" i="3"/>
  <c r="BH167" i="3"/>
  <c r="BH175" i="3"/>
  <c r="BG167" i="3"/>
  <c r="BG175" i="3"/>
  <c r="BF167" i="3"/>
  <c r="BF175" i="3"/>
  <c r="BE167" i="3"/>
  <c r="BE175" i="3"/>
  <c r="BD167" i="3"/>
  <c r="BD175" i="3"/>
  <c r="BC167" i="3"/>
  <c r="BC175" i="3"/>
  <c r="BB167" i="3"/>
  <c r="BB175" i="3"/>
  <c r="BA167" i="3"/>
  <c r="BA175" i="3"/>
  <c r="AZ167" i="3"/>
  <c r="AZ175" i="3"/>
  <c r="AY167" i="3"/>
  <c r="AY175" i="3"/>
  <c r="AX167" i="3"/>
  <c r="AX175" i="3"/>
  <c r="AW167" i="3"/>
  <c r="AW175" i="3"/>
  <c r="AV167" i="3"/>
  <c r="AV175" i="3"/>
  <c r="AU167" i="3"/>
  <c r="AU175" i="3"/>
  <c r="AT167" i="3"/>
  <c r="AT175" i="3"/>
  <c r="AS167" i="3"/>
  <c r="AS175" i="3"/>
  <c r="AR167" i="3"/>
  <c r="AR175" i="3"/>
  <c r="AQ167" i="3"/>
  <c r="AQ175" i="3"/>
  <c r="AP167" i="3"/>
  <c r="AP175" i="3"/>
  <c r="AO167" i="3"/>
  <c r="AO175" i="3"/>
  <c r="AN167" i="3"/>
  <c r="AN175" i="3"/>
  <c r="BL170" i="3"/>
  <c r="BL174" i="3"/>
  <c r="BK170" i="3"/>
  <c r="BK174" i="3"/>
  <c r="BJ170" i="3"/>
  <c r="BJ174" i="3"/>
  <c r="BI170" i="3"/>
  <c r="BI174" i="3"/>
  <c r="BH170" i="3"/>
  <c r="BH174" i="3"/>
  <c r="BG170" i="3"/>
  <c r="BG174" i="3"/>
  <c r="BF170" i="3"/>
  <c r="BF174" i="3"/>
  <c r="BE170" i="3"/>
  <c r="BE174" i="3"/>
  <c r="BD170" i="3"/>
  <c r="BD174" i="3"/>
  <c r="BC170" i="3"/>
  <c r="BC174" i="3"/>
  <c r="BB170" i="3"/>
  <c r="BB174" i="3"/>
  <c r="BA170" i="3"/>
  <c r="BA174" i="3"/>
  <c r="AZ170" i="3"/>
  <c r="AZ174" i="3"/>
  <c r="AY170" i="3"/>
  <c r="AY174" i="3"/>
  <c r="AX170" i="3"/>
  <c r="AX174" i="3"/>
  <c r="AW170" i="3"/>
  <c r="AW174" i="3"/>
  <c r="AV170" i="3"/>
  <c r="AV174" i="3"/>
  <c r="AU170" i="3"/>
  <c r="AU174" i="3"/>
  <c r="AT170" i="3"/>
  <c r="AT174" i="3"/>
  <c r="AS170" i="3"/>
  <c r="AS174" i="3"/>
  <c r="AR170" i="3"/>
  <c r="AR174" i="3"/>
  <c r="AQ170" i="3"/>
  <c r="AQ174" i="3"/>
  <c r="AP170" i="3"/>
  <c r="AP174" i="3"/>
  <c r="AO170" i="3"/>
  <c r="AO174" i="3"/>
  <c r="AN174" i="3"/>
  <c r="BL173" i="3"/>
  <c r="BK173" i="3"/>
  <c r="BJ173" i="3"/>
  <c r="BI173" i="3"/>
  <c r="BH173" i="3"/>
  <c r="BG173" i="3"/>
  <c r="BF173" i="3"/>
  <c r="BE173" i="3"/>
  <c r="BD173" i="3"/>
  <c r="BC173" i="3"/>
  <c r="BB173" i="3"/>
  <c r="BA173" i="3"/>
  <c r="AZ173" i="3"/>
  <c r="AY173" i="3"/>
  <c r="AX173" i="3"/>
  <c r="AW173" i="3"/>
  <c r="AV173" i="3"/>
  <c r="AU173" i="3"/>
  <c r="AT173" i="3"/>
  <c r="AS173" i="3"/>
  <c r="AR173" i="3"/>
  <c r="AQ173" i="3"/>
  <c r="AP173" i="3"/>
  <c r="AO173" i="3"/>
  <c r="AN173" i="3"/>
  <c r="CQ19" i="3"/>
  <c r="CQ27" i="3"/>
  <c r="CP19" i="3"/>
  <c r="CP27" i="3"/>
  <c r="CO19" i="3"/>
  <c r="CO27" i="3"/>
  <c r="CN19" i="3"/>
  <c r="CN27" i="3"/>
  <c r="CM19" i="3"/>
  <c r="CM27" i="3"/>
  <c r="CL19" i="3"/>
  <c r="CL27" i="3"/>
  <c r="CK19" i="3"/>
  <c r="CK27" i="3"/>
  <c r="CJ19" i="3"/>
  <c r="CJ27" i="3"/>
  <c r="CI19" i="3"/>
  <c r="CI27" i="3"/>
  <c r="CH19" i="3"/>
  <c r="CH27" i="3"/>
  <c r="CG19" i="3"/>
  <c r="CG27" i="3"/>
  <c r="CF19" i="3"/>
  <c r="CF27" i="3"/>
  <c r="CE19" i="3"/>
  <c r="CE27" i="3"/>
  <c r="CD19" i="3"/>
  <c r="CD27" i="3"/>
  <c r="CC19" i="3"/>
  <c r="CC27" i="3"/>
  <c r="CB19" i="3"/>
  <c r="CB27" i="3"/>
  <c r="CA19" i="3"/>
  <c r="CA27" i="3"/>
  <c r="BZ19" i="3"/>
  <c r="BZ27" i="3"/>
  <c r="BY19" i="3"/>
  <c r="BY27" i="3"/>
  <c r="BX19" i="3"/>
  <c r="BX27" i="3"/>
  <c r="BW19" i="3"/>
  <c r="BW27" i="3"/>
  <c r="BV19" i="3"/>
  <c r="BV27" i="3"/>
  <c r="BU19" i="3"/>
  <c r="BU27" i="3"/>
  <c r="BT19" i="3"/>
  <c r="BT27" i="3"/>
  <c r="BS19" i="3"/>
  <c r="BS27" i="3"/>
  <c r="CQ21" i="3"/>
  <c r="CQ26" i="3"/>
  <c r="CP21" i="3"/>
  <c r="CP26" i="3"/>
  <c r="CO21" i="3"/>
  <c r="CO26" i="3"/>
  <c r="CN21" i="3"/>
  <c r="CN26" i="3"/>
  <c r="CM21" i="3"/>
  <c r="CM26" i="3"/>
  <c r="CL21" i="3"/>
  <c r="CL26" i="3"/>
  <c r="CK21" i="3"/>
  <c r="CK26" i="3"/>
  <c r="CJ21" i="3"/>
  <c r="CJ26" i="3"/>
  <c r="CI21" i="3"/>
  <c r="CI26" i="3"/>
  <c r="CH21" i="3"/>
  <c r="CH26" i="3"/>
  <c r="CG21" i="3"/>
  <c r="CG26" i="3"/>
  <c r="CF21" i="3"/>
  <c r="CF26" i="3"/>
  <c r="CE21" i="3"/>
  <c r="CE26" i="3"/>
  <c r="CD21" i="3"/>
  <c r="CD26" i="3"/>
  <c r="CC21" i="3"/>
  <c r="CC26" i="3"/>
  <c r="CB21" i="3"/>
  <c r="CB26" i="3"/>
  <c r="CA21" i="3"/>
  <c r="CA26" i="3"/>
  <c r="BZ21" i="3"/>
  <c r="BZ26" i="3"/>
  <c r="BY21" i="3"/>
  <c r="BY26" i="3"/>
  <c r="BX21" i="3"/>
  <c r="BX26" i="3"/>
  <c r="BW21" i="3"/>
  <c r="BW26" i="3"/>
  <c r="BV21" i="3"/>
  <c r="BV26" i="3"/>
  <c r="BU21" i="3"/>
  <c r="BU26" i="3"/>
  <c r="BT21" i="3"/>
  <c r="BT26" i="3"/>
  <c r="BS26" i="3"/>
  <c r="CQ25" i="3"/>
  <c r="CP25" i="3"/>
  <c r="CO25" i="3"/>
  <c r="CN25" i="3"/>
  <c r="CM25" i="3"/>
  <c r="CL25" i="3"/>
  <c r="CK25" i="3"/>
  <c r="CJ25" i="3"/>
  <c r="CI25" i="3"/>
  <c r="CH25" i="3"/>
  <c r="CG25" i="3"/>
  <c r="CF25" i="3"/>
  <c r="CE25" i="3"/>
  <c r="CD25" i="3"/>
  <c r="CC25" i="3"/>
  <c r="CB25" i="3"/>
  <c r="CA25" i="3"/>
  <c r="BZ25" i="3"/>
  <c r="BY25" i="3"/>
  <c r="BX25" i="3"/>
  <c r="BW25" i="3"/>
  <c r="BV25" i="3"/>
  <c r="BU25" i="3"/>
  <c r="BT25" i="3"/>
  <c r="BS25" i="3"/>
  <c r="BL176" i="3"/>
  <c r="BK176" i="3"/>
  <c r="BJ176" i="3"/>
  <c r="BI176" i="3"/>
  <c r="BH176" i="3"/>
  <c r="BG176" i="3"/>
  <c r="BF176" i="3"/>
  <c r="BE176" i="3"/>
  <c r="BD176" i="3"/>
  <c r="BC176" i="3"/>
  <c r="BB176" i="3"/>
  <c r="BA176" i="3"/>
  <c r="AZ176" i="3"/>
  <c r="AY176" i="3"/>
  <c r="AX176" i="3"/>
  <c r="CQ28" i="3"/>
  <c r="CP28" i="3"/>
  <c r="CO28" i="3"/>
  <c r="CN28" i="3"/>
  <c r="CM28" i="3"/>
  <c r="CL28" i="3"/>
  <c r="CK28" i="3"/>
  <c r="CJ28" i="3"/>
  <c r="CI28" i="3"/>
  <c r="CH28" i="3"/>
  <c r="CG28" i="3"/>
  <c r="CF28" i="3"/>
  <c r="CE28" i="3"/>
  <c r="CD28" i="3"/>
  <c r="CC28" i="3"/>
  <c r="R164" i="3"/>
  <c r="AX164" i="3"/>
  <c r="CC16" i="3"/>
  <c r="S164" i="3"/>
  <c r="AY164" i="3"/>
  <c r="CD16" i="3"/>
  <c r="T164" i="3"/>
  <c r="AZ164" i="3"/>
  <c r="CE16" i="3"/>
  <c r="U164" i="3"/>
  <c r="BA164" i="3"/>
  <c r="CF16" i="3"/>
  <c r="V164" i="3"/>
  <c r="BB164" i="3"/>
  <c r="CG16" i="3"/>
  <c r="W164" i="3"/>
  <c r="BC164" i="3"/>
  <c r="CH16" i="3"/>
  <c r="X164" i="3"/>
  <c r="BD164" i="3"/>
  <c r="CI16" i="3"/>
  <c r="Y164" i="3"/>
  <c r="BE164" i="3"/>
  <c r="CJ16" i="3"/>
  <c r="Z164" i="3"/>
  <c r="BF164" i="3"/>
  <c r="CK16" i="3"/>
  <c r="AA164" i="3"/>
  <c r="BG164" i="3"/>
  <c r="CL16" i="3"/>
  <c r="AB164" i="3"/>
  <c r="BH164" i="3"/>
  <c r="CM16" i="3"/>
  <c r="AC164" i="3"/>
  <c r="BI164" i="3"/>
  <c r="CN16" i="3"/>
  <c r="AD164" i="3"/>
  <c r="BJ164" i="3"/>
  <c r="CO16" i="3"/>
  <c r="AE164" i="3"/>
  <c r="BK164" i="3"/>
  <c r="CP16" i="3"/>
  <c r="AF164" i="3"/>
  <c r="BL164" i="3"/>
  <c r="CQ16" i="3"/>
  <c r="AN102" i="10"/>
  <c r="AK102" i="10"/>
  <c r="I102" i="10"/>
  <c r="AK85" i="10"/>
  <c r="AN101" i="10"/>
  <c r="AK30" i="10"/>
  <c r="AK100" i="10"/>
  <c r="AK90" i="10"/>
  <c r="AN96" i="10"/>
  <c r="AK39" i="10"/>
  <c r="AK96" i="10"/>
  <c r="F30" i="10"/>
  <c r="F100" i="10"/>
  <c r="F85" i="10"/>
  <c r="I101" i="10"/>
  <c r="F90" i="10"/>
  <c r="I96" i="10"/>
  <c r="F88" i="10"/>
  <c r="AK88" i="10"/>
  <c r="AK37" i="10"/>
  <c r="AA76" i="3"/>
  <c r="Z15" i="10"/>
  <c r="Z8" i="10"/>
  <c r="Z33" i="10"/>
  <c r="Z32" i="10"/>
  <c r="Z36" i="10"/>
  <c r="AB76" i="3"/>
  <c r="AA15" i="10"/>
  <c r="AA8" i="10"/>
  <c r="AA33" i="10"/>
  <c r="AA32" i="10"/>
  <c r="AA36" i="10"/>
  <c r="AC76" i="3"/>
  <c r="AB15" i="10"/>
  <c r="AB8" i="10"/>
  <c r="AB33" i="10"/>
  <c r="AB32" i="10"/>
  <c r="AB36" i="10"/>
  <c r="AD76" i="3"/>
  <c r="AC15" i="10"/>
  <c r="AC8" i="10"/>
  <c r="AC33" i="10"/>
  <c r="AC32" i="10"/>
  <c r="AC36" i="10"/>
  <c r="AE76" i="3"/>
  <c r="AD15" i="10"/>
  <c r="AD8" i="10"/>
  <c r="AD33" i="10"/>
  <c r="AD32" i="10"/>
  <c r="AD36" i="10"/>
  <c r="Z67" i="10"/>
  <c r="Z66" i="10"/>
  <c r="Z70" i="10"/>
  <c r="AA67" i="10"/>
  <c r="AA66" i="10"/>
  <c r="AA70" i="10"/>
  <c r="AB67" i="10"/>
  <c r="AB66" i="10"/>
  <c r="AB70" i="10"/>
  <c r="AC67" i="10"/>
  <c r="AC66" i="10"/>
  <c r="AC70" i="10"/>
  <c r="AD67" i="10"/>
  <c r="AD66" i="10"/>
  <c r="AD70" i="10"/>
  <c r="Z50" i="10"/>
  <c r="Z49" i="10"/>
  <c r="Z53" i="10"/>
  <c r="AA50" i="10"/>
  <c r="AA49" i="10"/>
  <c r="AA53" i="10"/>
  <c r="AB50" i="10"/>
  <c r="AB49" i="10"/>
  <c r="AB53" i="10"/>
  <c r="AC50" i="10"/>
  <c r="AC49" i="10"/>
  <c r="AC53" i="10"/>
  <c r="AD50" i="10"/>
  <c r="AD49" i="10"/>
  <c r="AD53" i="10"/>
  <c r="Q116" i="3"/>
  <c r="P116" i="3"/>
  <c r="O116" i="3"/>
  <c r="N116" i="3"/>
  <c r="M116" i="3"/>
  <c r="L116" i="3"/>
  <c r="K116" i="3"/>
  <c r="J116" i="3"/>
  <c r="I116" i="3"/>
  <c r="H116" i="3"/>
  <c r="AW116" i="3"/>
  <c r="AV116" i="3"/>
  <c r="AU116" i="3"/>
  <c r="AT116" i="3"/>
  <c r="AS116" i="3"/>
  <c r="AR116" i="3"/>
  <c r="AQ116" i="3"/>
  <c r="AP116" i="3"/>
  <c r="AO116" i="3"/>
  <c r="AN116" i="3"/>
  <c r="H86" i="7"/>
  <c r="H80" i="7"/>
  <c r="H106" i="7"/>
  <c r="H83" i="7"/>
  <c r="H100" i="7"/>
  <c r="H103" i="7"/>
  <c r="H112" i="7"/>
  <c r="H23" i="3"/>
  <c r="H17" i="3"/>
  <c r="H16" i="3"/>
  <c r="I10" i="3"/>
  <c r="I75" i="3"/>
  <c r="I78" i="3"/>
  <c r="J78" i="3"/>
  <c r="K78" i="3"/>
  <c r="L78" i="3"/>
  <c r="M78" i="3"/>
  <c r="N78" i="3"/>
  <c r="O78" i="3"/>
  <c r="P78" i="3"/>
  <c r="Q78" i="3"/>
  <c r="R78" i="3"/>
  <c r="I86" i="7"/>
  <c r="I80" i="7"/>
  <c r="I106" i="7"/>
  <c r="I83" i="7"/>
  <c r="I100" i="7"/>
  <c r="I103" i="7"/>
  <c r="I112" i="7"/>
  <c r="I23" i="3"/>
  <c r="I17" i="3"/>
  <c r="I16" i="3"/>
  <c r="J10" i="3"/>
  <c r="J75" i="3"/>
  <c r="J79" i="3"/>
  <c r="K79" i="3"/>
  <c r="L79" i="3"/>
  <c r="M79" i="3"/>
  <c r="N79" i="3"/>
  <c r="O79" i="3"/>
  <c r="P79" i="3"/>
  <c r="Q79" i="3"/>
  <c r="R79" i="3"/>
  <c r="S79" i="3"/>
  <c r="J86" i="7"/>
  <c r="J80" i="7"/>
  <c r="J106" i="7"/>
  <c r="J83" i="7"/>
  <c r="J100" i="7"/>
  <c r="J103" i="7"/>
  <c r="J112" i="7"/>
  <c r="J23" i="3"/>
  <c r="J17" i="3"/>
  <c r="J16" i="3"/>
  <c r="K10" i="3"/>
  <c r="K75" i="3"/>
  <c r="K80" i="3"/>
  <c r="L80" i="3"/>
  <c r="M80" i="3"/>
  <c r="N80" i="3"/>
  <c r="O80" i="3"/>
  <c r="P80" i="3"/>
  <c r="Q80" i="3"/>
  <c r="R80" i="3"/>
  <c r="S80" i="3"/>
  <c r="T80" i="3"/>
  <c r="K86" i="7"/>
  <c r="K80" i="7"/>
  <c r="K106" i="7"/>
  <c r="K83" i="7"/>
  <c r="K100" i="7"/>
  <c r="K103" i="7"/>
  <c r="K112" i="7"/>
  <c r="K23" i="3"/>
  <c r="K17" i="3"/>
  <c r="K16" i="3"/>
  <c r="L10" i="3"/>
  <c r="L75" i="3"/>
  <c r="L81" i="3"/>
  <c r="M81" i="3"/>
  <c r="N81" i="3"/>
  <c r="O81" i="3"/>
  <c r="P81" i="3"/>
  <c r="Q81" i="3"/>
  <c r="R81" i="3"/>
  <c r="S81" i="3"/>
  <c r="T81" i="3"/>
  <c r="U81" i="3"/>
  <c r="L86" i="7"/>
  <c r="L80" i="7"/>
  <c r="L106" i="7"/>
  <c r="L83" i="7"/>
  <c r="L100" i="7"/>
  <c r="L103" i="7"/>
  <c r="L112" i="7"/>
  <c r="L23" i="3"/>
  <c r="L17" i="3"/>
  <c r="L16" i="3"/>
  <c r="M10" i="3"/>
  <c r="M75" i="3"/>
  <c r="M82" i="3"/>
  <c r="N82" i="3"/>
  <c r="O82" i="3"/>
  <c r="P82" i="3"/>
  <c r="Q82" i="3"/>
  <c r="R82" i="3"/>
  <c r="S82" i="3"/>
  <c r="T82" i="3"/>
  <c r="U82" i="3"/>
  <c r="V82" i="3"/>
  <c r="M86" i="7"/>
  <c r="M80" i="7"/>
  <c r="M106" i="7"/>
  <c r="M83" i="7"/>
  <c r="M100" i="7"/>
  <c r="M103" i="7"/>
  <c r="M112" i="7"/>
  <c r="M23" i="3"/>
  <c r="M17" i="3"/>
  <c r="M16" i="3"/>
  <c r="N10" i="3"/>
  <c r="N75" i="3"/>
  <c r="N83" i="3"/>
  <c r="O83" i="3"/>
  <c r="P83" i="3"/>
  <c r="Q83" i="3"/>
  <c r="R83" i="3"/>
  <c r="S83" i="3"/>
  <c r="T83" i="3"/>
  <c r="U83" i="3"/>
  <c r="V83" i="3"/>
  <c r="W83" i="3"/>
  <c r="N86" i="7"/>
  <c r="N80" i="7"/>
  <c r="N106" i="7"/>
  <c r="N83" i="7"/>
  <c r="N100" i="7"/>
  <c r="N103" i="7"/>
  <c r="N112" i="7"/>
  <c r="N23" i="3"/>
  <c r="N17" i="3"/>
  <c r="N16" i="3"/>
  <c r="O10" i="3"/>
  <c r="O75" i="3"/>
  <c r="O84" i="3"/>
  <c r="P84" i="3"/>
  <c r="Q84" i="3"/>
  <c r="R84" i="3"/>
  <c r="S84" i="3"/>
  <c r="T84" i="3"/>
  <c r="U84" i="3"/>
  <c r="V84" i="3"/>
  <c r="W84" i="3"/>
  <c r="X84" i="3"/>
  <c r="O86" i="7"/>
  <c r="O80" i="7"/>
  <c r="O106" i="7"/>
  <c r="O83" i="7"/>
  <c r="O100" i="7"/>
  <c r="O103" i="7"/>
  <c r="O112" i="7"/>
  <c r="O23" i="3"/>
  <c r="O17" i="3"/>
  <c r="O16" i="3"/>
  <c r="P10" i="3"/>
  <c r="P75" i="3"/>
  <c r="P85" i="3"/>
  <c r="Q85" i="3"/>
  <c r="R85" i="3"/>
  <c r="S85" i="3"/>
  <c r="T85" i="3"/>
  <c r="U85" i="3"/>
  <c r="V85" i="3"/>
  <c r="W85" i="3"/>
  <c r="X85" i="3"/>
  <c r="Y85" i="3"/>
  <c r="P86" i="7"/>
  <c r="P80" i="7"/>
  <c r="P106" i="7"/>
  <c r="P83" i="7"/>
  <c r="P100" i="7"/>
  <c r="P103" i="7"/>
  <c r="P112" i="7"/>
  <c r="P23" i="3"/>
  <c r="P17" i="3"/>
  <c r="P16" i="3"/>
  <c r="Q10" i="3"/>
  <c r="Q75" i="3"/>
  <c r="Q86" i="3"/>
  <c r="R86" i="3"/>
  <c r="S86" i="3"/>
  <c r="T86" i="3"/>
  <c r="U86" i="3"/>
  <c r="V86" i="3"/>
  <c r="W86" i="3"/>
  <c r="X86" i="3"/>
  <c r="Y86" i="3"/>
  <c r="Z86" i="3"/>
  <c r="Q86" i="7"/>
  <c r="Q80" i="7"/>
  <c r="Q83" i="7"/>
  <c r="Q100" i="7"/>
  <c r="Q95" i="7"/>
  <c r="Q89" i="7"/>
  <c r="Q92" i="7"/>
  <c r="Q101" i="7"/>
  <c r="Q99" i="7"/>
  <c r="P95" i="7"/>
  <c r="P89" i="7"/>
  <c r="P92" i="7"/>
  <c r="P101" i="7"/>
  <c r="P99" i="7"/>
  <c r="O95" i="7"/>
  <c r="O89" i="7"/>
  <c r="O92" i="7"/>
  <c r="O101" i="7"/>
  <c r="O99" i="7"/>
  <c r="N95" i="7"/>
  <c r="N89" i="7"/>
  <c r="N92" i="7"/>
  <c r="N101" i="7"/>
  <c r="N99" i="7"/>
  <c r="M95" i="7"/>
  <c r="M89" i="7"/>
  <c r="M92" i="7"/>
  <c r="M101" i="7"/>
  <c r="M99" i="7"/>
  <c r="L95" i="7"/>
  <c r="L89" i="7"/>
  <c r="L92" i="7"/>
  <c r="L101" i="7"/>
  <c r="L99" i="7"/>
  <c r="K95" i="7"/>
  <c r="K89" i="7"/>
  <c r="K92" i="7"/>
  <c r="K101" i="7"/>
  <c r="K99" i="7"/>
  <c r="J95" i="7"/>
  <c r="J89" i="7"/>
  <c r="J92" i="7"/>
  <c r="J101" i="7"/>
  <c r="J99" i="7"/>
  <c r="I95" i="7"/>
  <c r="I89" i="7"/>
  <c r="I92" i="7"/>
  <c r="I101" i="7"/>
  <c r="I99" i="7"/>
  <c r="H95" i="7"/>
  <c r="H89" i="7"/>
  <c r="H92" i="7"/>
  <c r="H101" i="7"/>
  <c r="H99" i="7"/>
  <c r="Q103" i="7"/>
  <c r="Q104" i="7"/>
  <c r="Q102" i="7"/>
  <c r="P104" i="7"/>
  <c r="P102" i="7"/>
  <c r="O104" i="7"/>
  <c r="O102" i="7"/>
  <c r="N104" i="7"/>
  <c r="N102" i="7"/>
  <c r="M104" i="7"/>
  <c r="M102" i="7"/>
  <c r="L104" i="7"/>
  <c r="L102" i="7"/>
  <c r="K104" i="7"/>
  <c r="K102" i="7"/>
  <c r="J104" i="7"/>
  <c r="J102" i="7"/>
  <c r="I104" i="7"/>
  <c r="I102" i="7"/>
  <c r="H104" i="7"/>
  <c r="H102" i="7"/>
  <c r="H91" i="7"/>
  <c r="I91" i="7"/>
  <c r="J91" i="7"/>
  <c r="K91" i="7"/>
  <c r="L91" i="7"/>
  <c r="M91" i="7"/>
  <c r="N91" i="7"/>
  <c r="O91" i="7"/>
  <c r="P91" i="7"/>
  <c r="Q91" i="7"/>
  <c r="I107" i="7"/>
  <c r="I113" i="7"/>
  <c r="AO23" i="3"/>
  <c r="AO17" i="3"/>
  <c r="AO16" i="3"/>
  <c r="J107" i="7"/>
  <c r="J113" i="7"/>
  <c r="AP23" i="3"/>
  <c r="AP17" i="3"/>
  <c r="AP16" i="3"/>
  <c r="K107" i="7"/>
  <c r="K113" i="7"/>
  <c r="AQ23" i="3"/>
  <c r="AQ17" i="3"/>
  <c r="AQ16" i="3"/>
  <c r="L107" i="7"/>
  <c r="L113" i="7"/>
  <c r="AR23" i="3"/>
  <c r="AR17" i="3"/>
  <c r="AR16" i="3"/>
  <c r="M107" i="7"/>
  <c r="M113" i="7"/>
  <c r="AS23" i="3"/>
  <c r="AS17" i="3"/>
  <c r="AS16" i="3"/>
  <c r="N107" i="7"/>
  <c r="N113" i="7"/>
  <c r="AT23" i="3"/>
  <c r="AT17" i="3"/>
  <c r="AT16" i="3"/>
  <c r="O107" i="7"/>
  <c r="O113" i="7"/>
  <c r="AU23" i="3"/>
  <c r="AU17" i="3"/>
  <c r="AU16" i="3"/>
  <c r="P107" i="7"/>
  <c r="P113" i="7"/>
  <c r="AV23" i="3"/>
  <c r="AV17" i="3"/>
  <c r="AV16" i="3"/>
  <c r="Q107" i="7"/>
  <c r="Q113" i="7"/>
  <c r="AW23" i="3"/>
  <c r="AW17" i="3"/>
  <c r="AW16" i="3"/>
  <c r="I96" i="7"/>
  <c r="I93" i="7"/>
  <c r="J96" i="7"/>
  <c r="J93" i="7"/>
  <c r="K96" i="7"/>
  <c r="K93" i="7"/>
  <c r="L96" i="7"/>
  <c r="L93" i="7"/>
  <c r="M96" i="7"/>
  <c r="M93" i="7"/>
  <c r="N96" i="7"/>
  <c r="N93" i="7"/>
  <c r="O96" i="7"/>
  <c r="O93" i="7"/>
  <c r="P96" i="7"/>
  <c r="P93" i="7"/>
  <c r="Q96" i="7"/>
  <c r="Q93" i="7"/>
  <c r="H107" i="7"/>
  <c r="H113" i="7"/>
  <c r="AN23" i="3"/>
  <c r="AN17" i="3"/>
  <c r="AN16" i="3"/>
  <c r="H96" i="7"/>
  <c r="H93" i="7"/>
  <c r="AN176" i="3"/>
  <c r="AO176" i="3"/>
  <c r="AP176" i="3"/>
  <c r="AQ176" i="3"/>
  <c r="AR176" i="3"/>
  <c r="AS176" i="3"/>
  <c r="AT176" i="3"/>
  <c r="AU176" i="3"/>
  <c r="AV176" i="3"/>
  <c r="AW176" i="3"/>
  <c r="AN212" i="3"/>
  <c r="AN214" i="3"/>
  <c r="AN213" i="3"/>
  <c r="AN215" i="3"/>
  <c r="AO212" i="3"/>
  <c r="AO214" i="3"/>
  <c r="AO213" i="3"/>
  <c r="AO215" i="3"/>
  <c r="AP212" i="3"/>
  <c r="AP214" i="3"/>
  <c r="AP213" i="3"/>
  <c r="AP215" i="3"/>
  <c r="AQ213" i="3"/>
  <c r="AQ215" i="3"/>
  <c r="AQ212" i="3"/>
  <c r="AQ214" i="3"/>
  <c r="AR213" i="3"/>
  <c r="AR215" i="3"/>
  <c r="AR212" i="3"/>
  <c r="AR214" i="3"/>
  <c r="AS212" i="3"/>
  <c r="AS214" i="3"/>
  <c r="AS213" i="3"/>
  <c r="AS215" i="3"/>
  <c r="AT212" i="3"/>
  <c r="AT214" i="3"/>
  <c r="AT213" i="3"/>
  <c r="AT215" i="3"/>
  <c r="AU212" i="3"/>
  <c r="AU214" i="3"/>
  <c r="AU213" i="3"/>
  <c r="AU215" i="3"/>
  <c r="AV212" i="3"/>
  <c r="AV214" i="3"/>
  <c r="AV213" i="3"/>
  <c r="AV215" i="3"/>
  <c r="AW212" i="3"/>
  <c r="AW214" i="3"/>
  <c r="AW213" i="3"/>
  <c r="AW215" i="3"/>
  <c r="AN194" i="3"/>
  <c r="AN220" i="3"/>
  <c r="AO194" i="3"/>
  <c r="AO220" i="3"/>
  <c r="AP194" i="3"/>
  <c r="AP220" i="3"/>
  <c r="AQ194" i="3"/>
  <c r="AQ220" i="3"/>
  <c r="AR194" i="3"/>
  <c r="AR220" i="3"/>
  <c r="AS194" i="3"/>
  <c r="AS220" i="3"/>
  <c r="AT194" i="3"/>
  <c r="AT220" i="3"/>
  <c r="AU194" i="3"/>
  <c r="AU220" i="3"/>
  <c r="AV194" i="3"/>
  <c r="AV220" i="3"/>
  <c r="AW194" i="3"/>
  <c r="AW220" i="3"/>
  <c r="AM221" i="3"/>
  <c r="K102" i="6"/>
  <c r="AN120" i="3"/>
  <c r="AO120" i="3"/>
  <c r="AP120" i="3"/>
  <c r="AQ120" i="3"/>
  <c r="AR120" i="3"/>
  <c r="AS120" i="3"/>
  <c r="AT120" i="3"/>
  <c r="AU120" i="3"/>
  <c r="AV120" i="3"/>
  <c r="AW120" i="3"/>
  <c r="AM128" i="3"/>
  <c r="AM126" i="3"/>
  <c r="H82" i="7"/>
  <c r="I82" i="7"/>
  <c r="J82" i="7"/>
  <c r="K82" i="7"/>
  <c r="L82" i="7"/>
  <c r="M82" i="7"/>
  <c r="N82" i="7"/>
  <c r="O82" i="7"/>
  <c r="P82" i="7"/>
  <c r="Q82" i="7"/>
  <c r="H192" i="3"/>
  <c r="H216" i="3"/>
  <c r="I192" i="3"/>
  <c r="I216" i="3"/>
  <c r="J192" i="3"/>
  <c r="J216" i="3"/>
  <c r="K192" i="3"/>
  <c r="K216" i="3"/>
  <c r="L192" i="3"/>
  <c r="L216" i="3"/>
  <c r="M192" i="3"/>
  <c r="M216" i="3"/>
  <c r="N192" i="3"/>
  <c r="N216" i="3"/>
  <c r="O192" i="3"/>
  <c r="O216" i="3"/>
  <c r="P192" i="3"/>
  <c r="P216" i="3"/>
  <c r="Q106" i="7"/>
  <c r="Q112" i="7"/>
  <c r="Q23" i="3"/>
  <c r="Q17" i="3"/>
  <c r="Q16" i="3"/>
  <c r="Q192" i="3"/>
  <c r="Q216" i="3"/>
  <c r="G217" i="3"/>
  <c r="D102" i="6"/>
  <c r="I76" i="3"/>
  <c r="H15" i="10"/>
  <c r="H8" i="10"/>
  <c r="H33" i="10"/>
  <c r="H32" i="10"/>
  <c r="H36" i="10"/>
  <c r="J76" i="3"/>
  <c r="I15" i="10"/>
  <c r="I8" i="10"/>
  <c r="I33" i="10"/>
  <c r="I32" i="10"/>
  <c r="I36" i="10"/>
  <c r="K76" i="3"/>
  <c r="J15" i="10"/>
  <c r="J8" i="10"/>
  <c r="J33" i="10"/>
  <c r="J32" i="10"/>
  <c r="J36" i="10"/>
  <c r="L76" i="3"/>
  <c r="K15" i="10"/>
  <c r="K8" i="10"/>
  <c r="K33" i="10"/>
  <c r="K32" i="10"/>
  <c r="K36" i="10"/>
  <c r="M76" i="3"/>
  <c r="L15" i="10"/>
  <c r="L8" i="10"/>
  <c r="L33" i="10"/>
  <c r="L32" i="10"/>
  <c r="L36" i="10"/>
  <c r="N76" i="3"/>
  <c r="M15" i="10"/>
  <c r="M8" i="10"/>
  <c r="M33" i="10"/>
  <c r="M32" i="10"/>
  <c r="M36" i="10"/>
  <c r="O76" i="3"/>
  <c r="N15" i="10"/>
  <c r="N8" i="10"/>
  <c r="N33" i="10"/>
  <c r="N32" i="10"/>
  <c r="N36" i="10"/>
  <c r="P76" i="3"/>
  <c r="O15" i="10"/>
  <c r="O8" i="10"/>
  <c r="O33" i="10"/>
  <c r="O32" i="10"/>
  <c r="O36" i="10"/>
  <c r="Q76" i="3"/>
  <c r="P15" i="10"/>
  <c r="P8" i="10"/>
  <c r="P33" i="10"/>
  <c r="P32" i="10"/>
  <c r="P36" i="10"/>
  <c r="R76" i="3"/>
  <c r="Q15" i="10"/>
  <c r="Q8" i="10"/>
  <c r="Q33" i="10"/>
  <c r="Q32" i="10"/>
  <c r="Q36" i="10"/>
  <c r="S76" i="3"/>
  <c r="R15" i="10"/>
  <c r="R8" i="10"/>
  <c r="R33" i="10"/>
  <c r="R32" i="10"/>
  <c r="R36" i="10"/>
  <c r="T76" i="3"/>
  <c r="S15" i="10"/>
  <c r="S8" i="10"/>
  <c r="S33" i="10"/>
  <c r="S32" i="10"/>
  <c r="S36" i="10"/>
  <c r="U76" i="3"/>
  <c r="T15" i="10"/>
  <c r="T8" i="10"/>
  <c r="T33" i="10"/>
  <c r="T32" i="10"/>
  <c r="T36" i="10"/>
  <c r="V76" i="3"/>
  <c r="U15" i="10"/>
  <c r="U8" i="10"/>
  <c r="U33" i="10"/>
  <c r="U32" i="10"/>
  <c r="U36" i="10"/>
  <c r="W76" i="3"/>
  <c r="V15" i="10"/>
  <c r="V8" i="10"/>
  <c r="V33" i="10"/>
  <c r="V32" i="10"/>
  <c r="V36" i="10"/>
  <c r="X76" i="3"/>
  <c r="W15" i="10"/>
  <c r="W8" i="10"/>
  <c r="W33" i="10"/>
  <c r="W32" i="10"/>
  <c r="W36" i="10"/>
  <c r="Y76" i="3"/>
  <c r="X15" i="10"/>
  <c r="X8" i="10"/>
  <c r="X33" i="10"/>
  <c r="X32" i="10"/>
  <c r="X36" i="10"/>
  <c r="Z76" i="3"/>
  <c r="Y15" i="10"/>
  <c r="Y8" i="10"/>
  <c r="Y33" i="10"/>
  <c r="Y32" i="10"/>
  <c r="Y36" i="10"/>
  <c r="F37" i="10"/>
  <c r="Q208" i="3"/>
  <c r="Q210" i="3"/>
  <c r="Q209" i="3"/>
  <c r="Q211" i="3"/>
  <c r="P209" i="3"/>
  <c r="P211" i="3"/>
  <c r="P208" i="3"/>
  <c r="P210" i="3"/>
  <c r="O208" i="3"/>
  <c r="O210" i="3"/>
  <c r="O209" i="3"/>
  <c r="O211" i="3"/>
  <c r="N209" i="3"/>
  <c r="N211" i="3"/>
  <c r="N208" i="3"/>
  <c r="N210" i="3"/>
  <c r="M208" i="3"/>
  <c r="M210" i="3"/>
  <c r="M209" i="3"/>
  <c r="M211" i="3"/>
  <c r="L209" i="3"/>
  <c r="L211" i="3"/>
  <c r="L208" i="3"/>
  <c r="L210" i="3"/>
  <c r="J209" i="3"/>
  <c r="J211" i="3"/>
  <c r="J208" i="3"/>
  <c r="J210" i="3"/>
  <c r="K208" i="3"/>
  <c r="K210" i="3"/>
  <c r="K209" i="3"/>
  <c r="K211" i="3"/>
  <c r="I208" i="3"/>
  <c r="I210" i="3"/>
  <c r="I209" i="3"/>
  <c r="I211" i="3"/>
  <c r="H208" i="3"/>
  <c r="H210" i="3"/>
  <c r="H209" i="3"/>
  <c r="H211" i="3"/>
  <c r="H120" i="3"/>
  <c r="I120" i="3"/>
  <c r="J120" i="3"/>
  <c r="K120" i="3"/>
  <c r="L120" i="3"/>
  <c r="M120" i="3"/>
  <c r="N120" i="3"/>
  <c r="O120" i="3"/>
  <c r="P120" i="3"/>
  <c r="Q120" i="3"/>
  <c r="G128" i="3"/>
  <c r="I61" i="3"/>
  <c r="J61" i="3"/>
  <c r="K61" i="3"/>
  <c r="L61" i="3"/>
  <c r="M61" i="3"/>
  <c r="N61" i="3"/>
  <c r="O61" i="3"/>
  <c r="P61" i="3"/>
  <c r="Q61" i="3"/>
  <c r="R61" i="3"/>
  <c r="S61" i="3"/>
  <c r="T61" i="3"/>
  <c r="U61" i="3"/>
  <c r="V61" i="3"/>
  <c r="W61" i="3"/>
  <c r="X61" i="3"/>
  <c r="Y61" i="3"/>
  <c r="Z61" i="3"/>
  <c r="AA61" i="3"/>
  <c r="AB61" i="3"/>
  <c r="AC61" i="3"/>
  <c r="AD61" i="3"/>
  <c r="AE61" i="3"/>
  <c r="AF61" i="3"/>
  <c r="AF62" i="3"/>
  <c r="AE62" i="3"/>
  <c r="AD62" i="3"/>
  <c r="AC62" i="3"/>
  <c r="AB62" i="3"/>
  <c r="AA62" i="3"/>
  <c r="Z62" i="3"/>
  <c r="Y62" i="3"/>
  <c r="X62" i="3"/>
  <c r="W62" i="3"/>
  <c r="V62" i="3"/>
  <c r="G126" i="3"/>
  <c r="U62" i="3"/>
  <c r="T62" i="3"/>
  <c r="S62" i="3"/>
  <c r="R62" i="3"/>
  <c r="Q62" i="3"/>
  <c r="P62" i="3"/>
  <c r="O62" i="3"/>
  <c r="N62" i="3"/>
  <c r="M62" i="3"/>
  <c r="L62" i="3"/>
  <c r="K62" i="3"/>
  <c r="J62" i="3"/>
  <c r="I62" i="3"/>
  <c r="I87" i="7"/>
  <c r="I84" i="7"/>
  <c r="J87" i="7"/>
  <c r="J84" i="7"/>
  <c r="K87" i="7"/>
  <c r="K84" i="7"/>
  <c r="L87" i="7"/>
  <c r="L84" i="7"/>
  <c r="M87" i="7"/>
  <c r="M84" i="7"/>
  <c r="N87" i="7"/>
  <c r="N84" i="7"/>
  <c r="O87" i="7"/>
  <c r="O84" i="7"/>
  <c r="P87" i="7"/>
  <c r="P84" i="7"/>
  <c r="Q87" i="7"/>
  <c r="Q84" i="7"/>
  <c r="F39" i="10"/>
  <c r="F96" i="10"/>
  <c r="H50" i="10"/>
  <c r="H49" i="10"/>
  <c r="H53" i="10"/>
  <c r="I50" i="10"/>
  <c r="I49" i="10"/>
  <c r="I53" i="10"/>
  <c r="J50" i="10"/>
  <c r="J49" i="10"/>
  <c r="J53" i="10"/>
  <c r="K50" i="10"/>
  <c r="K49" i="10"/>
  <c r="K53" i="10"/>
  <c r="L50" i="10"/>
  <c r="L49" i="10"/>
  <c r="L53" i="10"/>
  <c r="M50" i="10"/>
  <c r="M49" i="10"/>
  <c r="M53" i="10"/>
  <c r="N50" i="10"/>
  <c r="N49" i="10"/>
  <c r="N53" i="10"/>
  <c r="O50" i="10"/>
  <c r="O49" i="10"/>
  <c r="O53" i="10"/>
  <c r="P50" i="10"/>
  <c r="P49" i="10"/>
  <c r="P53" i="10"/>
  <c r="F56" i="10"/>
  <c r="G96" i="10"/>
  <c r="H67" i="10"/>
  <c r="H66" i="10"/>
  <c r="H70" i="10"/>
  <c r="I67" i="10"/>
  <c r="I66" i="10"/>
  <c r="I70" i="10"/>
  <c r="J67" i="10"/>
  <c r="J66" i="10"/>
  <c r="J70" i="10"/>
  <c r="K67" i="10"/>
  <c r="K66" i="10"/>
  <c r="K70" i="10"/>
  <c r="L67" i="10"/>
  <c r="L66" i="10"/>
  <c r="L70" i="10"/>
  <c r="M67" i="10"/>
  <c r="M66" i="10"/>
  <c r="M70" i="10"/>
  <c r="N67" i="10"/>
  <c r="N66" i="10"/>
  <c r="N70" i="10"/>
  <c r="O67" i="10"/>
  <c r="O66" i="10"/>
  <c r="O70" i="10"/>
  <c r="P67" i="10"/>
  <c r="P66" i="10"/>
  <c r="P70" i="10"/>
  <c r="F73" i="10"/>
  <c r="H96" i="10"/>
  <c r="F34" i="10"/>
  <c r="F101" i="10"/>
  <c r="Q67" i="10"/>
  <c r="Q66" i="10"/>
  <c r="Q70" i="10"/>
  <c r="R67" i="10"/>
  <c r="R66" i="10"/>
  <c r="R70" i="10"/>
  <c r="S67" i="10"/>
  <c r="S66" i="10"/>
  <c r="S70" i="10"/>
  <c r="T67" i="10"/>
  <c r="T66" i="10"/>
  <c r="T70" i="10"/>
  <c r="U67" i="10"/>
  <c r="U66" i="10"/>
  <c r="U70" i="10"/>
  <c r="V67" i="10"/>
  <c r="V66" i="10"/>
  <c r="V70" i="10"/>
  <c r="W67" i="10"/>
  <c r="W66" i="10"/>
  <c r="W70" i="10"/>
  <c r="X67" i="10"/>
  <c r="X66" i="10"/>
  <c r="X70" i="10"/>
  <c r="Y67" i="10"/>
  <c r="Y66" i="10"/>
  <c r="Y70" i="10"/>
  <c r="F71" i="10"/>
  <c r="Q50" i="10"/>
  <c r="Q49" i="10"/>
  <c r="Q53" i="10"/>
  <c r="R50" i="10"/>
  <c r="R49" i="10"/>
  <c r="R53" i="10"/>
  <c r="S50" i="10"/>
  <c r="S49" i="10"/>
  <c r="S53" i="10"/>
  <c r="T50" i="10"/>
  <c r="T49" i="10"/>
  <c r="T53" i="10"/>
  <c r="U50" i="10"/>
  <c r="U49" i="10"/>
  <c r="U53" i="10"/>
  <c r="V50" i="10"/>
  <c r="V49" i="10"/>
  <c r="V53" i="10"/>
  <c r="W50" i="10"/>
  <c r="W49" i="10"/>
  <c r="W53" i="10"/>
  <c r="X50" i="10"/>
  <c r="X49" i="10"/>
  <c r="X53" i="10"/>
  <c r="Y50" i="10"/>
  <c r="Y49" i="10"/>
  <c r="Y53" i="10"/>
  <c r="F54" i="10"/>
  <c r="F68" i="10"/>
  <c r="H101" i="10"/>
  <c r="F51" i="10"/>
  <c r="G101" i="10"/>
  <c r="H175" i="3"/>
  <c r="F38" i="10"/>
  <c r="F97" i="10"/>
  <c r="F102" i="10"/>
  <c r="F72" i="10"/>
  <c r="H97" i="10"/>
  <c r="H102" i="10"/>
  <c r="F55" i="10"/>
  <c r="G97" i="10"/>
  <c r="G102" i="10"/>
  <c r="H87" i="7"/>
  <c r="H84" i="7"/>
  <c r="Q175" i="3"/>
  <c r="P175" i="3"/>
  <c r="O175" i="3"/>
  <c r="N175" i="3"/>
  <c r="M175" i="3"/>
  <c r="L175" i="3"/>
  <c r="K175" i="3"/>
  <c r="J175" i="3"/>
  <c r="I175" i="3"/>
  <c r="H111" i="7"/>
  <c r="I111" i="7"/>
  <c r="J111" i="7"/>
  <c r="K111" i="7"/>
  <c r="L111" i="7"/>
  <c r="M111" i="7"/>
  <c r="N111" i="7"/>
  <c r="O111" i="7"/>
  <c r="P111" i="7"/>
  <c r="Q111" i="7"/>
  <c r="BR39" i="3"/>
  <c r="S102" i="6"/>
  <c r="CB38" i="3"/>
  <c r="Q67" i="7"/>
  <c r="Q74" i="7"/>
  <c r="Q71" i="7"/>
  <c r="Q194" i="3"/>
  <c r="Q213" i="3"/>
  <c r="AW196" i="3"/>
  <c r="AW217" i="3"/>
  <c r="CB35" i="3"/>
  <c r="Q202" i="3"/>
  <c r="Q204" i="3"/>
  <c r="Q215" i="3"/>
  <c r="AW206" i="3"/>
  <c r="AW208" i="3"/>
  <c r="AW219" i="3"/>
  <c r="CB37" i="3"/>
  <c r="Q201" i="3"/>
  <c r="Q203" i="3"/>
  <c r="Q214" i="3"/>
  <c r="AW205" i="3"/>
  <c r="AW207" i="3"/>
  <c r="AW218" i="3"/>
  <c r="CB36" i="3"/>
  <c r="Q28" i="3"/>
  <c r="Q161" i="3"/>
  <c r="AW28" i="3"/>
  <c r="AW161" i="3"/>
  <c r="CB13" i="3"/>
  <c r="CA38" i="3"/>
  <c r="BZ38" i="3"/>
  <c r="P194" i="3"/>
  <c r="P213" i="3"/>
  <c r="AV196" i="3"/>
  <c r="AV217" i="3"/>
  <c r="CA35" i="3"/>
  <c r="P67" i="7"/>
  <c r="P74" i="7"/>
  <c r="P71" i="7"/>
  <c r="P201" i="3"/>
  <c r="P203" i="3"/>
  <c r="P214" i="3"/>
  <c r="AV205" i="3"/>
  <c r="AV207" i="3"/>
  <c r="AV218" i="3"/>
  <c r="CA36" i="3"/>
  <c r="P28" i="3"/>
  <c r="P161" i="3"/>
  <c r="AV28" i="3"/>
  <c r="AV161" i="3"/>
  <c r="CA13" i="3"/>
  <c r="P202" i="3"/>
  <c r="P204" i="3"/>
  <c r="P215" i="3"/>
  <c r="AV206" i="3"/>
  <c r="AV208" i="3"/>
  <c r="AV219" i="3"/>
  <c r="CA37" i="3"/>
  <c r="O194" i="3"/>
  <c r="O213" i="3"/>
  <c r="AU196" i="3"/>
  <c r="AU217" i="3"/>
  <c r="BZ35" i="3"/>
  <c r="BY38" i="3"/>
  <c r="BX38" i="3"/>
  <c r="O67" i="7"/>
  <c r="O74" i="7"/>
  <c r="O71" i="7"/>
  <c r="M194" i="3"/>
  <c r="M213" i="3"/>
  <c r="AS196" i="3"/>
  <c r="AS217" i="3"/>
  <c r="BX35" i="3"/>
  <c r="N194" i="3"/>
  <c r="N213" i="3"/>
  <c r="AT196" i="3"/>
  <c r="AT217" i="3"/>
  <c r="BY35" i="3"/>
  <c r="M67" i="7"/>
  <c r="M74" i="7"/>
  <c r="M71" i="7"/>
  <c r="O201" i="3"/>
  <c r="O203" i="3"/>
  <c r="O214" i="3"/>
  <c r="AU205" i="3"/>
  <c r="AU207" i="3"/>
  <c r="AU218" i="3"/>
  <c r="BZ36" i="3"/>
  <c r="O202" i="3"/>
  <c r="O204" i="3"/>
  <c r="O215" i="3"/>
  <c r="AU206" i="3"/>
  <c r="AU208" i="3"/>
  <c r="AU219" i="3"/>
  <c r="BZ37" i="3"/>
  <c r="O28" i="3"/>
  <c r="O161" i="3"/>
  <c r="AU28" i="3"/>
  <c r="AU161" i="3"/>
  <c r="BZ13" i="3"/>
  <c r="N67" i="7"/>
  <c r="N74" i="7"/>
  <c r="N71" i="7"/>
  <c r="BW38" i="3"/>
  <c r="N202" i="3"/>
  <c r="N204" i="3"/>
  <c r="N215" i="3"/>
  <c r="AT206" i="3"/>
  <c r="AT208" i="3"/>
  <c r="AT219" i="3"/>
  <c r="BY37" i="3"/>
  <c r="N28" i="3"/>
  <c r="N161" i="3"/>
  <c r="AT28" i="3"/>
  <c r="AT161" i="3"/>
  <c r="BY13" i="3"/>
  <c r="N201" i="3"/>
  <c r="N203" i="3"/>
  <c r="N214" i="3"/>
  <c r="AT205" i="3"/>
  <c r="AT207" i="3"/>
  <c r="AT218" i="3"/>
  <c r="BY36" i="3"/>
  <c r="L194" i="3"/>
  <c r="L213" i="3"/>
  <c r="AR196" i="3"/>
  <c r="AR217" i="3"/>
  <c r="BW35" i="3"/>
  <c r="L67" i="7"/>
  <c r="L74" i="7"/>
  <c r="L71" i="7"/>
  <c r="BV38" i="3"/>
  <c r="M202" i="3"/>
  <c r="M204" i="3"/>
  <c r="M215" i="3"/>
  <c r="AS206" i="3"/>
  <c r="AS208" i="3"/>
  <c r="AS219" i="3"/>
  <c r="BX37" i="3"/>
  <c r="M201" i="3"/>
  <c r="M203" i="3"/>
  <c r="M214" i="3"/>
  <c r="AS205" i="3"/>
  <c r="AS207" i="3"/>
  <c r="AS218" i="3"/>
  <c r="BX36" i="3"/>
  <c r="M28" i="3"/>
  <c r="M161" i="3"/>
  <c r="AS28" i="3"/>
  <c r="AS161" i="3"/>
  <c r="BX13" i="3"/>
  <c r="L201" i="3"/>
  <c r="L203" i="3"/>
  <c r="L214" i="3"/>
  <c r="AR205" i="3"/>
  <c r="AR207" i="3"/>
  <c r="AR218" i="3"/>
  <c r="BW36" i="3"/>
  <c r="L202" i="3"/>
  <c r="L204" i="3"/>
  <c r="L215" i="3"/>
  <c r="AR206" i="3"/>
  <c r="AR208" i="3"/>
  <c r="AR219" i="3"/>
  <c r="BW37" i="3"/>
  <c r="L28" i="3"/>
  <c r="L161" i="3"/>
  <c r="AR28" i="3"/>
  <c r="AR161" i="3"/>
  <c r="BW13" i="3"/>
  <c r="BU38" i="3"/>
  <c r="K194" i="3"/>
  <c r="K213" i="3"/>
  <c r="AQ196" i="3"/>
  <c r="AQ217" i="3"/>
  <c r="BV35" i="3"/>
  <c r="K67" i="7"/>
  <c r="K74" i="7"/>
  <c r="K71" i="7"/>
  <c r="J194" i="3"/>
  <c r="J213" i="3"/>
  <c r="AP196" i="3"/>
  <c r="AP217" i="3"/>
  <c r="BU35" i="3"/>
  <c r="J67" i="7"/>
  <c r="J74" i="7"/>
  <c r="J71" i="7"/>
  <c r="BT38" i="3"/>
  <c r="K202" i="3"/>
  <c r="K204" i="3"/>
  <c r="K215" i="3"/>
  <c r="AQ206" i="3"/>
  <c r="AQ208" i="3"/>
  <c r="AQ219" i="3"/>
  <c r="BV37" i="3"/>
  <c r="K201" i="3"/>
  <c r="K203" i="3"/>
  <c r="K214" i="3"/>
  <c r="AQ205" i="3"/>
  <c r="AQ207" i="3"/>
  <c r="AQ218" i="3"/>
  <c r="BV36" i="3"/>
  <c r="K28" i="3"/>
  <c r="K161" i="3"/>
  <c r="AQ28" i="3"/>
  <c r="AQ161" i="3"/>
  <c r="BV13" i="3"/>
  <c r="BS38" i="3"/>
  <c r="I194" i="3"/>
  <c r="I213" i="3"/>
  <c r="AO196" i="3"/>
  <c r="AO217" i="3"/>
  <c r="BT35" i="3"/>
  <c r="J202" i="3"/>
  <c r="J204" i="3"/>
  <c r="J215" i="3"/>
  <c r="AP206" i="3"/>
  <c r="AP208" i="3"/>
  <c r="AP219" i="3"/>
  <c r="BU37" i="3"/>
  <c r="J201" i="3"/>
  <c r="J203" i="3"/>
  <c r="J214" i="3"/>
  <c r="AP205" i="3"/>
  <c r="AP207" i="3"/>
  <c r="AP218" i="3"/>
  <c r="BU36" i="3"/>
  <c r="J28" i="3"/>
  <c r="J161" i="3"/>
  <c r="AP28" i="3"/>
  <c r="AP161" i="3"/>
  <c r="BU13" i="3"/>
  <c r="I67" i="7"/>
  <c r="I74" i="7"/>
  <c r="I71" i="7"/>
  <c r="I28" i="3"/>
  <c r="I161" i="3"/>
  <c r="AO28" i="3"/>
  <c r="AO161" i="3"/>
  <c r="BT13" i="3"/>
  <c r="I202" i="3"/>
  <c r="I204" i="3"/>
  <c r="I215" i="3"/>
  <c r="AO206" i="3"/>
  <c r="AO208" i="3"/>
  <c r="AO219" i="3"/>
  <c r="BT37" i="3"/>
  <c r="I201" i="3"/>
  <c r="I203" i="3"/>
  <c r="I214" i="3"/>
  <c r="AO205" i="3"/>
  <c r="AO207" i="3"/>
  <c r="AO218" i="3"/>
  <c r="BT36" i="3"/>
  <c r="H194" i="3"/>
  <c r="H213" i="3"/>
  <c r="AN196" i="3"/>
  <c r="AN217" i="3"/>
  <c r="BS35" i="3"/>
  <c r="H67" i="7"/>
  <c r="H74" i="7"/>
  <c r="H71" i="7"/>
  <c r="H202" i="3"/>
  <c r="H204" i="3"/>
  <c r="H215" i="3"/>
  <c r="AN206" i="3"/>
  <c r="AN208" i="3"/>
  <c r="AN219" i="3"/>
  <c r="BS37" i="3"/>
  <c r="H201" i="3"/>
  <c r="H203" i="3"/>
  <c r="H214" i="3"/>
  <c r="AN205" i="3"/>
  <c r="AN207" i="3"/>
  <c r="AN218" i="3"/>
  <c r="BS36" i="3"/>
  <c r="H28" i="3"/>
  <c r="H161" i="3"/>
  <c r="AN28" i="3"/>
  <c r="AN161" i="3"/>
  <c r="BS13" i="3"/>
  <c r="CB23" i="3"/>
  <c r="CB28" i="3"/>
  <c r="CA23" i="3"/>
  <c r="CA28" i="3"/>
  <c r="BZ23" i="3"/>
  <c r="BZ28" i="3"/>
  <c r="BY23" i="3"/>
  <c r="BY28" i="3"/>
  <c r="BX23" i="3"/>
  <c r="BX28" i="3"/>
  <c r="BW23" i="3"/>
  <c r="BW28" i="3"/>
  <c r="BV23" i="3"/>
  <c r="BV28" i="3"/>
  <c r="BU23" i="3"/>
  <c r="BU28" i="3"/>
  <c r="BT23" i="3"/>
  <c r="BT28" i="3"/>
  <c r="BS23" i="3"/>
  <c r="BS28" i="3"/>
  <c r="H164" i="3"/>
  <c r="AN164" i="3"/>
  <c r="BS16" i="3"/>
  <c r="I164" i="3"/>
  <c r="AO164" i="3"/>
  <c r="BT16" i="3"/>
  <c r="J164" i="3"/>
  <c r="AP164" i="3"/>
  <c r="BU16" i="3"/>
  <c r="K164" i="3"/>
  <c r="AQ164" i="3"/>
  <c r="BV16" i="3"/>
  <c r="L164" i="3"/>
  <c r="AR164" i="3"/>
  <c r="BW16" i="3"/>
  <c r="M164" i="3"/>
  <c r="AS164" i="3"/>
  <c r="BX16" i="3"/>
  <c r="N164" i="3"/>
  <c r="AT164" i="3"/>
  <c r="BY16" i="3"/>
  <c r="O164" i="3"/>
  <c r="AU164" i="3"/>
  <c r="BZ16" i="3"/>
  <c r="P164" i="3"/>
  <c r="AV164" i="3"/>
  <c r="CA16" i="3"/>
  <c r="Q164" i="3"/>
  <c r="AW164" i="3"/>
  <c r="CB16" i="3"/>
  <c r="H69" i="7"/>
  <c r="I69" i="7"/>
  <c r="J69" i="7"/>
  <c r="K69" i="7"/>
  <c r="L69" i="7"/>
  <c r="M69" i="7"/>
  <c r="N69" i="7"/>
  <c r="O69" i="7"/>
  <c r="P69" i="7"/>
  <c r="Q69" i="7"/>
</calcChain>
</file>

<file path=xl/sharedStrings.xml><?xml version="1.0" encoding="utf-8"?>
<sst xmlns="http://schemas.openxmlformats.org/spreadsheetml/2006/main" count="2453" uniqueCount="592">
  <si>
    <t>Y1</t>
  </si>
  <si>
    <t>Y2</t>
  </si>
  <si>
    <t>Sales</t>
  </si>
  <si>
    <t>Name</t>
  </si>
  <si>
    <t>Units</t>
  </si>
  <si>
    <t>Value</t>
  </si>
  <si>
    <t>kWh</t>
  </si>
  <si>
    <t>%</t>
  </si>
  <si>
    <t>$/kWh</t>
  </si>
  <si>
    <t>Y3</t>
  </si>
  <si>
    <t>Y4</t>
  </si>
  <si>
    <t>Y5</t>
  </si>
  <si>
    <t>Y6</t>
  </si>
  <si>
    <t>Y7</t>
  </si>
  <si>
    <t>Y8</t>
  </si>
  <si>
    <t>Y9</t>
  </si>
  <si>
    <t>Y10</t>
  </si>
  <si>
    <t>EE Program Cost</t>
  </si>
  <si>
    <t>$</t>
  </si>
  <si>
    <t>"</t>
  </si>
  <si>
    <t>Avg Change in Savings</t>
  </si>
  <si>
    <t>%/year</t>
  </si>
  <si>
    <t>Sales in Y0</t>
  </si>
  <si>
    <t>Avg Change in Cost</t>
  </si>
  <si>
    <t>Y0</t>
  </si>
  <si>
    <t>Base Sales</t>
  </si>
  <si>
    <t>Y1 Savings</t>
  </si>
  <si>
    <t>Y2 Savings</t>
  </si>
  <si>
    <t>Y3 Savings</t>
  </si>
  <si>
    <t>Avg Measure Lifetime</t>
  </si>
  <si>
    <t>Program Lifetime</t>
  </si>
  <si>
    <t>years</t>
  </si>
  <si>
    <t>Y4 Savings</t>
  </si>
  <si>
    <t>Y5 Savings</t>
  </si>
  <si>
    <t>Y6 Savings</t>
  </si>
  <si>
    <t>Y7 Savings</t>
  </si>
  <si>
    <t>Y8 Savings</t>
  </si>
  <si>
    <t>Y9 Savings</t>
  </si>
  <si>
    <t>Y10 Savings</t>
  </si>
  <si>
    <t>Y11</t>
  </si>
  <si>
    <t>Bill Impact Module</t>
  </si>
  <si>
    <t>Y12</t>
  </si>
  <si>
    <t>Y13</t>
  </si>
  <si>
    <t>Y14</t>
  </si>
  <si>
    <t>Y15</t>
  </si>
  <si>
    <t>Y16</t>
  </si>
  <si>
    <t>Y17</t>
  </si>
  <si>
    <t>Y18</t>
  </si>
  <si>
    <t>Y19</t>
  </si>
  <si>
    <t>Y20</t>
  </si>
  <si>
    <t>Y21</t>
  </si>
  <si>
    <t>Y22</t>
  </si>
  <si>
    <t>Y23</t>
  </si>
  <si>
    <t>Y24</t>
  </si>
  <si>
    <t>Y25</t>
  </si>
  <si>
    <t>Sales w/EE</t>
  </si>
  <si>
    <t>Customers</t>
  </si>
  <si>
    <t>Participants</t>
  </si>
  <si>
    <t>households</t>
  </si>
  <si>
    <t>Avg Use</t>
  </si>
  <si>
    <t>Avg Variable Cost Rate in Y0</t>
  </si>
  <si>
    <t>$/month</t>
  </si>
  <si>
    <t>kWh/year</t>
  </si>
  <si>
    <t>Avg Base Use</t>
  </si>
  <si>
    <t>Fundamental Sub-Module</t>
  </si>
  <si>
    <t>Customers in Y0</t>
  </si>
  <si>
    <t>Energy Saved in Y1</t>
  </si>
  <si>
    <t>Avg Rate in Y0</t>
  </si>
  <si>
    <t>Participants in Y1</t>
  </si>
  <si>
    <t>Base Bills</t>
  </si>
  <si>
    <t>Customer Sector</t>
  </si>
  <si>
    <t>Fuel Use Shift Sub-Module</t>
  </si>
  <si>
    <t>Fuel Costs</t>
  </si>
  <si>
    <t>Peak Period</t>
  </si>
  <si>
    <t>Peak Duration</t>
  </si>
  <si>
    <t>hours</t>
  </si>
  <si>
    <t>EE Sales - Peak</t>
  </si>
  <si>
    <t>EE Sales - Off-Peak</t>
  </si>
  <si>
    <t>Use-Shift Rate Impact</t>
  </si>
  <si>
    <t>kW</t>
  </si>
  <si>
    <t>Avg Bills</t>
  </si>
  <si>
    <t>Off-Peak Avg Fuel Cost</t>
  </si>
  <si>
    <t>Off-Peak Avg Marginal Fuel Cost</t>
  </si>
  <si>
    <t>On-Peak Avg Fuel Cost</t>
  </si>
  <si>
    <t>On-Peak Avg Marginal Fuel Cost</t>
  </si>
  <si>
    <t>On-Peak Avg Capacity in Y0</t>
  </si>
  <si>
    <t>Use Change Impact</t>
  </si>
  <si>
    <t>boolean</t>
  </si>
  <si>
    <t>Avg On-Peak Demand Reduction Fuel Cost Impact</t>
  </si>
  <si>
    <t>Time Series Data Entry</t>
  </si>
  <si>
    <t xml:space="preserve"> - </t>
  </si>
  <si>
    <t>Annual Program New Participation</t>
  </si>
  <si>
    <t>Levelized Cost of EE Sub-Module</t>
  </si>
  <si>
    <t>Discount Rate</t>
  </si>
  <si>
    <t>Program cost recovery allowed?</t>
  </si>
  <si>
    <t>Avg Change in Sales</t>
  </si>
  <si>
    <t>Forecasted Capital Investment</t>
  </si>
  <si>
    <t>year</t>
  </si>
  <si>
    <t>Avg Change in Customers</t>
  </si>
  <si>
    <t>Avg Change in Participation</t>
  </si>
  <si>
    <t>Participation Sub-Module</t>
  </si>
  <si>
    <t>EE Program Cost Recovery Rate</t>
  </si>
  <si>
    <t>Avg Measure Efficency Decay</t>
  </si>
  <si>
    <t>Total Participants</t>
  </si>
  <si>
    <t>New Participants</t>
  </si>
  <si>
    <t>Non-Participants</t>
  </si>
  <si>
    <t>Avg Participant Useage</t>
  </si>
  <si>
    <t>Avg Non-Participant Useage</t>
  </si>
  <si>
    <t>Avg Participant Bill</t>
  </si>
  <si>
    <t>Avg Non-Participant Bill</t>
  </si>
  <si>
    <t>Avg Difference in Participant Bills</t>
  </si>
  <si>
    <t>Avg Difference in Non-Participant Bills</t>
  </si>
  <si>
    <t>Avg Difference in Bill</t>
  </si>
  <si>
    <t>Additional Incentive Calculations</t>
  </si>
  <si>
    <t>Annual Depreciation Revenue Requirement</t>
  </si>
  <si>
    <t>Tax Revenue Requirement</t>
  </si>
  <si>
    <t>$ (million)</t>
  </si>
  <si>
    <t>Annual Capital Expenditure</t>
  </si>
  <si>
    <t>Rate Base</t>
  </si>
  <si>
    <t>$/MWh</t>
  </si>
  <si>
    <t>Production Costs</t>
  </si>
  <si>
    <t>MWh</t>
  </si>
  <si>
    <t>Book Asset Depreciation Rate</t>
  </si>
  <si>
    <t>Depreciation</t>
  </si>
  <si>
    <t>Taxation</t>
  </si>
  <si>
    <t>Annual escalation rate for O&amp;M costs</t>
  </si>
  <si>
    <t>O&amp;M costs in year 0</t>
  </si>
  <si>
    <t>Operations &amp; Maintenance costs</t>
  </si>
  <si>
    <t>% Debt</t>
  </si>
  <si>
    <t>target ROE</t>
  </si>
  <si>
    <t>% Equity</t>
  </si>
  <si>
    <t>Capital Structure</t>
  </si>
  <si>
    <t>% (annual)</t>
  </si>
  <si>
    <t>Escalation rate for costs of off-peak production</t>
  </si>
  <si>
    <t>Escalation rate for costs of peak production</t>
  </si>
  <si>
    <t>Costs of Production</t>
  </si>
  <si>
    <t>Escalation rate of Annual Capital Expenditures</t>
  </si>
  <si>
    <t>Annual Capital Expenditures in Y0</t>
  </si>
  <si>
    <t>Rate Base in Y0</t>
  </si>
  <si>
    <t>Utility Impact Module</t>
  </si>
  <si>
    <t>Performance Incentive Module</t>
  </si>
  <si>
    <t>Variable Cost Rate (from customer inputs)</t>
  </si>
  <si>
    <t>Base Var Cost Rate (from customer inputs)</t>
  </si>
  <si>
    <t>Fixed Cost Rate (from customer inputs)</t>
  </si>
  <si>
    <t>Base Fixed Cost Rate (from customer inputs)</t>
  </si>
  <si>
    <t>Rate-Case Year Sub-Module</t>
  </si>
  <si>
    <t>Rate Case Year? (1 = yes, 0 = no)</t>
  </si>
  <si>
    <t>Use timed rate cases?</t>
  </si>
  <si>
    <t>Use ROE-driven rate cases?</t>
  </si>
  <si>
    <t>ROE upper bound</t>
  </si>
  <si>
    <t>ROE lower bound</t>
  </si>
  <si>
    <t>Possible Rate Case Year? (1 = yes, 0 = no)</t>
  </si>
  <si>
    <t xml:space="preserve">Effective income tax rate </t>
  </si>
  <si>
    <t>Plant A</t>
  </si>
  <si>
    <t>Annual Load Factor</t>
  </si>
  <si>
    <t>Capital Investment Deferral Calculations</t>
  </si>
  <si>
    <t>Capital Investment A</t>
  </si>
  <si>
    <t>Load at activation year without EE</t>
  </si>
  <si>
    <t>Load at activation year with EE</t>
  </si>
  <si>
    <t>Next year at which EE load reaches activation year noEE load</t>
  </si>
  <si>
    <t>year-index</t>
  </si>
  <si>
    <t>Difference from original activation year</t>
  </si>
  <si>
    <t>Years in time series, adjusted for deferral</t>
  </si>
  <si>
    <t>costs in time series, adjusted for deferral</t>
  </si>
  <si>
    <t>Capital Investment B</t>
  </si>
  <si>
    <t>Capital Investment C</t>
  </si>
  <si>
    <t>Capital Investment D</t>
  </si>
  <si>
    <t>Capital Investment E</t>
  </si>
  <si>
    <t>Inputs for Capital Investment A</t>
  </si>
  <si>
    <t>Capital Investment Deferral</t>
  </si>
  <si>
    <t>All Capital Investments</t>
  </si>
  <si>
    <t>Capital Investment A cost time series</t>
  </si>
  <si>
    <t>Capital Investment B cost time series</t>
  </si>
  <si>
    <t>Capital Investment C cost time series</t>
  </si>
  <si>
    <t>Capital Investment D cost time series</t>
  </si>
  <si>
    <t>Capital Investment E cost time series</t>
  </si>
  <si>
    <t>Inputs for Capital Investment B</t>
  </si>
  <si>
    <t>Inputs for Capital Investment C</t>
  </si>
  <si>
    <t>Inputs for Capital Investment D</t>
  </si>
  <si>
    <t>Inputs for Capital Investment E</t>
  </si>
  <si>
    <t>Plant B</t>
  </si>
  <si>
    <t>Plant C</t>
  </si>
  <si>
    <t>Plant D</t>
  </si>
  <si>
    <t>Plant E</t>
  </si>
  <si>
    <t>$ (millions)</t>
  </si>
  <si>
    <t>words</t>
  </si>
  <si>
    <t>% (ROE)</t>
  </si>
  <si>
    <t>Rate Difference (from customer inputs)</t>
  </si>
  <si>
    <t>Base Rate (from customer sector)</t>
  </si>
  <si>
    <t>Annual True Rate</t>
  </si>
  <si>
    <t>Actual Rate</t>
  </si>
  <si>
    <t>Rate w/EE (for customer inputs)</t>
  </si>
  <si>
    <t>Transmission &amp; Distribution Losses</t>
  </si>
  <si>
    <t>Base Rate (from utility sector)</t>
  </si>
  <si>
    <t>Base Var Cost Rate (from utility sector)</t>
  </si>
  <si>
    <t>Base Fixed Cost Rate (from utility sector)</t>
  </si>
  <si>
    <t>Rate Difference (from utility sector)</t>
  </si>
  <si>
    <t>Fixed Cost Rate (from utility sector)</t>
  </si>
  <si>
    <t>Variable Cost Rate (from utility sector)</t>
  </si>
  <si>
    <t>Rate w/EE (for utility sector)</t>
  </si>
  <si>
    <t>Annual True Base Rate</t>
  </si>
  <si>
    <t>Actual Base Rate</t>
  </si>
  <si>
    <t>Rate Difference</t>
  </si>
  <si>
    <t>Difference in Sales between cases</t>
  </si>
  <si>
    <t>Change in Fixed Cost Rate</t>
  </si>
  <si>
    <t>Avg Change in Energy Cost</t>
  </si>
  <si>
    <t>Next year at which EE load reaches no EE activation year load</t>
  </si>
  <si>
    <t>Fundamental Calculations</t>
  </si>
  <si>
    <t>Variable Cost Rate</t>
  </si>
  <si>
    <t>Fixed Cost Rate</t>
  </si>
  <si>
    <t>Customer Input Rates</t>
  </si>
  <si>
    <t>Utility Input Rates</t>
  </si>
  <si>
    <t>Year Zero - Y0</t>
  </si>
  <si>
    <t>Fuel Use Shift Cost Impact Sub-Module</t>
  </si>
  <si>
    <t>Use Utility RR for Variable Rate?</t>
  </si>
  <si>
    <t>Variable Rate</t>
  </si>
  <si>
    <t>Fixed Rate</t>
  </si>
  <si>
    <t>Use Utility RR for Fixed Rate?</t>
  </si>
  <si>
    <t>Rate class's share of fixed cost</t>
  </si>
  <si>
    <t>Variable Cost Base Rate</t>
  </si>
  <si>
    <t>Fixed Cost Base Rate</t>
  </si>
  <si>
    <t>EE Measure Targeting Sub-Module</t>
  </si>
  <si>
    <t>Savings Change with Targeting</t>
  </si>
  <si>
    <t>Cost of Targeting Program</t>
  </si>
  <si>
    <t>Targeting Program Cost</t>
  </si>
  <si>
    <t>Energy Savings Change</t>
  </si>
  <si>
    <t>Outputs</t>
  </si>
  <si>
    <t>Avg Difference in Participant Bill</t>
  </si>
  <si>
    <t>Avg Difference in Non-Participant Bill</t>
  </si>
  <si>
    <t>%/month</t>
  </si>
  <si>
    <t>Participant Usage Bias Sub-Module</t>
  </si>
  <si>
    <t>Participant Use</t>
  </si>
  <si>
    <t>Rates</t>
  </si>
  <si>
    <t>Difference in Participant Avg Use Sub-Module</t>
  </si>
  <si>
    <t>Difference in Participant Avg Use</t>
  </si>
  <si>
    <t>Residential Customers</t>
  </si>
  <si>
    <t>Commercial &amp; Industrial Customers</t>
  </si>
  <si>
    <t>C&amp;I Rate Impact Module</t>
  </si>
  <si>
    <t>Res. Rate Impact Module</t>
  </si>
  <si>
    <t>Res. Bill Impact Module</t>
  </si>
  <si>
    <t>C&amp;I Bill Impact Module</t>
  </si>
  <si>
    <t>kWh/month</t>
  </si>
  <si>
    <t>Residential Iteration Base Inputs</t>
  </si>
  <si>
    <t>C&amp;I Iteration Base Inputs</t>
  </si>
  <si>
    <t>Demand in Y0</t>
  </si>
  <si>
    <t>Avg Change in Demand</t>
  </si>
  <si>
    <t>Power Saved in Y1</t>
  </si>
  <si>
    <t>$/kW</t>
  </si>
  <si>
    <t xml:space="preserve">Rate Impact Module - Customer Iteration </t>
  </si>
  <si>
    <t>Rate Impact Module - C&amp;I Iteration</t>
  </si>
  <si>
    <t>Rate Impact Module - Residential Iteration</t>
  </si>
  <si>
    <t>Avg Volumetric Rate in Y0</t>
  </si>
  <si>
    <t>Savings</t>
  </si>
  <si>
    <t>Demand Saved in Y1</t>
  </si>
  <si>
    <t>Avg Change in Demand Savings</t>
  </si>
  <si>
    <t>Avg Change in Sale</t>
  </si>
  <si>
    <t>Base Fuel Cost</t>
  </si>
  <si>
    <t>EE Fuel Cost</t>
  </si>
  <si>
    <t>Weighted Avg Fuel Cost - Base Case</t>
  </si>
  <si>
    <t>Weighted Avg Fuel Cost - w/EE</t>
  </si>
  <si>
    <t>On-Peak Avg Fuel Cost - w/EE</t>
  </si>
  <si>
    <t>Off-Peak Avg Fuel Cost - w/EE</t>
  </si>
  <si>
    <t>On-Peak Avg Fuel Cost - Base Case</t>
  </si>
  <si>
    <t>Off-Peak Avg Fuel Cost - Base Case</t>
  </si>
  <si>
    <t>Peak Savings</t>
  </si>
  <si>
    <t>Off-Peak Savings</t>
  </si>
  <si>
    <t>Avg Off-Peak Demand Reduction Fuel Cost Impact</t>
  </si>
  <si>
    <t>Cumulative Use Change Impact</t>
  </si>
  <si>
    <t>Peak Sales - Base Case</t>
  </si>
  <si>
    <t>Off-Peak Sales - Base Case</t>
  </si>
  <si>
    <t>Avg Production Cost - Base Case</t>
  </si>
  <si>
    <t>Base Sales - Peak</t>
  </si>
  <si>
    <t>Base Sales - Off-Peak</t>
  </si>
  <si>
    <t>Peak Sales - w/EE</t>
  </si>
  <si>
    <t>Off-Peak Sales - w/EE</t>
  </si>
  <si>
    <t>Peak Sales Difference</t>
  </si>
  <si>
    <t>Off-Peak Sales Difference</t>
  </si>
  <si>
    <t>Marginal Fuel Cost Savings</t>
  </si>
  <si>
    <t>Avg Demand</t>
  </si>
  <si>
    <t>Avg Base Demand</t>
  </si>
  <si>
    <t>Demand - EE Case</t>
  </si>
  <si>
    <t>Sales - EE Case</t>
  </si>
  <si>
    <t>Sales - Base Case</t>
  </si>
  <si>
    <t>Demand - Base Case</t>
  </si>
  <si>
    <t>Difference in Demand between cases</t>
  </si>
  <si>
    <t>Annual New Demand Savings</t>
  </si>
  <si>
    <t>Annual New Energy Savings</t>
  </si>
  <si>
    <t>Total Annual Energy Savings</t>
  </si>
  <si>
    <t>Total Annual Demand Savings</t>
  </si>
  <si>
    <t>Demand Rate</t>
  </si>
  <si>
    <t>Avg Participant Demand</t>
  </si>
  <si>
    <t>Avg Non-Participant Demand</t>
  </si>
  <si>
    <t>Peak Sales - EE Case</t>
  </si>
  <si>
    <t>Off-Peak Sales - EE Case</t>
  </si>
  <si>
    <t>Avg Demand Charge in Y0</t>
  </si>
  <si>
    <t>% of Energy Savings On-Peak</t>
  </si>
  <si>
    <t>Total Life-Cycle Cost</t>
  </si>
  <si>
    <t>$ (Y0)</t>
  </si>
  <si>
    <t>Fuel Use Shift Impact Sub-Module</t>
  </si>
  <si>
    <t>Present Value of Energy Savings</t>
  </si>
  <si>
    <t>Present Value of Program Costs</t>
  </si>
  <si>
    <t>Present Value of Difference in Fuel Cost</t>
  </si>
  <si>
    <t>Annual Present Dollar Cost</t>
  </si>
  <si>
    <t>Annual Levelized Energy Savings</t>
  </si>
  <si>
    <t>Total Levelized Energy Savings</t>
  </si>
  <si>
    <t>Levelized Cost of EE</t>
  </si>
  <si>
    <t>Annual Levelized Cost of EE</t>
  </si>
  <si>
    <t>Levelized Energy Savings by Program Year</t>
  </si>
  <si>
    <t>Levelized Cost of EE w/Fuel Cost Difference</t>
  </si>
  <si>
    <t>Levelized Cost of EE w/Incentives</t>
  </si>
  <si>
    <t>Presnet Value of Savings by Program Year</t>
  </si>
  <si>
    <t>Present Value of Incentives</t>
  </si>
  <si>
    <t>Levelized Cost of EE w/Fuel Cost Difference &amp; Incentives</t>
  </si>
  <si>
    <t>New Peak Savings</t>
  </si>
  <si>
    <t>New Off-Peak Savings</t>
  </si>
  <si>
    <t>Levelized Cost of Energy</t>
  </si>
  <si>
    <t>Avg Levelized Cost of Energy:</t>
  </si>
  <si>
    <t>Present Value of Demand Savings</t>
  </si>
  <si>
    <t>Present Value of Demand Savings by Program Year</t>
  </si>
  <si>
    <t>Cost of Debt</t>
  </si>
  <si>
    <t>Annual Operations &amp; Maintenance Cost</t>
  </si>
  <si>
    <t>Residential Customer</t>
  </si>
  <si>
    <t>Commercial &amp; Industrial Customer</t>
  </si>
  <si>
    <t>Debt</t>
  </si>
  <si>
    <t>Equity</t>
  </si>
  <si>
    <t>Avg Peak Production Cost</t>
  </si>
  <si>
    <t>Avg Off-peak Production Cost</t>
  </si>
  <si>
    <t>Avg Production Cost - w/EE</t>
  </si>
  <si>
    <t>Asset Basis for Depreciation</t>
  </si>
  <si>
    <t>Peak Load Forecast w/o EE</t>
  </si>
  <si>
    <t>Peak Load Forecast w/ EE</t>
  </si>
  <si>
    <t>Total Tax Depreciation Reserve</t>
  </si>
  <si>
    <t>Fixed Costs</t>
  </si>
  <si>
    <t>Variable Costs</t>
  </si>
  <si>
    <t>Residential Cost of Production - Base</t>
  </si>
  <si>
    <t>C&amp;I Cost of Production - Base</t>
  </si>
  <si>
    <t>Residential Cost of Production - w/EE</t>
  </si>
  <si>
    <t>C&amp;I Cost of Production - w/EE</t>
  </si>
  <si>
    <t>Costs - Base</t>
  </si>
  <si>
    <t>Variables Cost - Base</t>
  </si>
  <si>
    <t>Fixed Cost - Base</t>
  </si>
  <si>
    <t>Costs - w/EE</t>
  </si>
  <si>
    <t>Variables Cost - w/EE</t>
  </si>
  <si>
    <t>Fixed Cost - w/EE</t>
  </si>
  <si>
    <t>After-tax Earnings - Base Case</t>
  </si>
  <si>
    <t>After-tax Earnings - EE Case</t>
  </si>
  <si>
    <t>ROE w/o EE</t>
  </si>
  <si>
    <t>ROE w/ EE</t>
  </si>
  <si>
    <t>Utility Costs</t>
  </si>
  <si>
    <t>Return on Equity</t>
  </si>
  <si>
    <t>Cost of Production - Base</t>
  </si>
  <si>
    <t>Cost of Production - EE</t>
  </si>
  <si>
    <t>Fixed Cost RR</t>
  </si>
  <si>
    <t>Residential Fixed Cost RR</t>
  </si>
  <si>
    <t>C&amp;I Fixed Cost RR</t>
  </si>
  <si>
    <t>Demand Rate Volumentric Equivilant</t>
  </si>
  <si>
    <t>Total Fixed Cost Rate</t>
  </si>
  <si>
    <t>Demand Rate - Base</t>
  </si>
  <si>
    <t>Deman Rate - EE</t>
  </si>
  <si>
    <t>Change in Deman Rate</t>
  </si>
  <si>
    <t>Present Value of Energy Savings by Program Year</t>
  </si>
  <si>
    <t>Rate Comparison</t>
  </si>
  <si>
    <t>Base Case</t>
  </si>
  <si>
    <t>EE Case</t>
  </si>
  <si>
    <t>Rate Breakdown</t>
  </si>
  <si>
    <t>Fixed Cost Rate Recovery</t>
  </si>
  <si>
    <t>Total Peak Load Forecast w/o EE</t>
  </si>
  <si>
    <t>Total Peak Load Forecast w/ EE</t>
  </si>
  <si>
    <t>on right</t>
  </si>
  <si>
    <t>Activation Year ("0" if none exists)</t>
  </si>
  <si>
    <t>w/ EE</t>
  </si>
  <si>
    <t>w/o EE</t>
  </si>
  <si>
    <t>customers</t>
  </si>
  <si>
    <t>Program Cost Recovery Sub-Module</t>
  </si>
  <si>
    <t>Expensed Cost Recovery</t>
  </si>
  <si>
    <t>Amortized Cost Recovery</t>
  </si>
  <si>
    <t>Over Measure Lifetime</t>
  </si>
  <si>
    <t>Over Set Years</t>
  </si>
  <si>
    <t>Lost Revenue Recovery Sub-Module</t>
  </si>
  <si>
    <t>Lost Revenue Adjustment Mechanism</t>
  </si>
  <si>
    <t>Straight Fixed Variable Rate</t>
  </si>
  <si>
    <t>% of Fixed Cost Recovered as Charge</t>
  </si>
  <si>
    <t>Y1 Amortization</t>
  </si>
  <si>
    <t>Y2 Amortization</t>
  </si>
  <si>
    <t>Y3 Amortization</t>
  </si>
  <si>
    <t>Y4 Amortization</t>
  </si>
  <si>
    <t>Y5 Amortization</t>
  </si>
  <si>
    <t>Y6 Amortization</t>
  </si>
  <si>
    <t>Y7 Amortization</t>
  </si>
  <si>
    <t>Y8 Amortization</t>
  </si>
  <si>
    <t>Y9 Amortization</t>
  </si>
  <si>
    <t>Y10 Amortization</t>
  </si>
  <si>
    <t>(To Be Implemented)</t>
  </si>
  <si>
    <t>Per Customer Decoupling</t>
  </si>
  <si>
    <t>$/customer</t>
  </si>
  <si>
    <t>Authorized Revenue Per Customer</t>
  </si>
  <si>
    <t>Actual Revenue Per Customer</t>
  </si>
  <si>
    <t>Revenue Per Customer Difference</t>
  </si>
  <si>
    <t>Res FC RR Before Incentives</t>
  </si>
  <si>
    <t>C&amp;I FC RR Before Incentives</t>
  </si>
  <si>
    <t>Incentive Recovery</t>
  </si>
  <si>
    <t>Incentive</t>
  </si>
  <si>
    <t>Residential Incentive</t>
  </si>
  <si>
    <t>C&amp;I Incentive</t>
  </si>
  <si>
    <t>Program Cost Recovery</t>
  </si>
  <si>
    <t>Recovery of Lost Revenue</t>
  </si>
  <si>
    <t>Incentives</t>
  </si>
  <si>
    <t>Cumulative Bill Savings</t>
  </si>
  <si>
    <t>Annual Bill Savings</t>
  </si>
  <si>
    <t>Cumulative Bill Savings:</t>
  </si>
  <si>
    <t>$/MW</t>
  </si>
  <si>
    <t>Net PAC Benefits</t>
  </si>
  <si>
    <t>Net PCT Benefits</t>
  </si>
  <si>
    <t>Net TRC Benefits</t>
  </si>
  <si>
    <t>Net RIM Benefits</t>
  </si>
  <si>
    <t>Total PAC Benefits</t>
  </si>
  <si>
    <t>Benefits</t>
  </si>
  <si>
    <t>Total PAC costs</t>
  </si>
  <si>
    <t>Costs</t>
  </si>
  <si>
    <t>PAC</t>
  </si>
  <si>
    <t>Total PCT Benefits</t>
  </si>
  <si>
    <t>Bill Savings</t>
  </si>
  <si>
    <t>Total PCT costs</t>
  </si>
  <si>
    <t>PCT</t>
  </si>
  <si>
    <t>TRC</t>
  </si>
  <si>
    <t>RIM</t>
  </si>
  <si>
    <t>cost recovery time series</t>
  </si>
  <si>
    <t>Avg Change in Number of Customers</t>
  </si>
  <si>
    <t>ROE Revenue Requirement</t>
  </si>
  <si>
    <t>Interest on Debt Revenue Requirement</t>
  </si>
  <si>
    <t>Total Book Depreciation Reserve</t>
  </si>
  <si>
    <t>Annual Depreciation on Tax Basis</t>
  </si>
  <si>
    <t>Annual Depreciation on Asset (Book) Basis</t>
  </si>
  <si>
    <t>Non-DSM-cost-recovery ROE</t>
  </si>
  <si>
    <t>ROE Breakdown Outputs</t>
  </si>
  <si>
    <t>Demand Rate Volumetric Equivilant</t>
  </si>
  <si>
    <t>EE Program Incentive Cost</t>
  </si>
  <si>
    <t>Residential DSM Program</t>
  </si>
  <si>
    <t>Commercial DSM Program</t>
  </si>
  <si>
    <t>Fundamental Module</t>
  </si>
  <si>
    <t>Utility Sector</t>
  </si>
  <si>
    <t>Deferred Capital Investment Module</t>
  </si>
  <si>
    <t>Rate Case Module</t>
  </si>
  <si>
    <t>Residential Net Benefits from CBA Test</t>
  </si>
  <si>
    <t>Commercial Net Benefits from CBA Test</t>
  </si>
  <si>
    <t>Energy Saved (annual)</t>
  </si>
  <si>
    <t>Demand Saved (annual)</t>
  </si>
  <si>
    <t>Joint Outputs</t>
  </si>
  <si>
    <t>Rate Impact Module</t>
  </si>
  <si>
    <t>Use Shift Rate Impact</t>
  </si>
  <si>
    <t>Residential Sales</t>
  </si>
  <si>
    <t>C&amp;I Sales</t>
  </si>
  <si>
    <t>Total Energy Sales</t>
  </si>
  <si>
    <t>Total Energy Savings (by program year)</t>
  </si>
  <si>
    <t>Residential Savings (by program year)</t>
  </si>
  <si>
    <t>C&amp;I Savings (by program year)</t>
  </si>
  <si>
    <t>Rate Impact Module - Total</t>
  </si>
  <si>
    <t>Total Levelized Cost of Energy</t>
  </si>
  <si>
    <t>Bill Impact Module - Residential Iteration</t>
  </si>
  <si>
    <t>Bill Impact Module - C&amp;I Iteration</t>
  </si>
  <si>
    <t>Bill Impact Module - Total</t>
  </si>
  <si>
    <t>Residential</t>
  </si>
  <si>
    <t>C&amp;I</t>
  </si>
  <si>
    <t>GT-DSM</t>
  </si>
  <si>
    <t>This program is distributed in the hope that it will be useful, but WITHOUT ANY WARRANTY; without even the implied warranty of MERCHANTABILITY or FITNESS FOR A PARTICULAR PURPOSE. See the GNU General Public License for more details.</t>
  </si>
  <si>
    <r>
      <t>For additional information, contact Professor Marilyn A. Brown, School of Public Policy, Georgia Institute of Technology at </t>
    </r>
    <r>
      <rPr>
        <sz val="11"/>
        <color rgb="FF1155CC"/>
        <rFont val="Arial"/>
        <family val="2"/>
      </rPr>
      <t>marilyn.brown@pubpolicy.gatech.edu</t>
    </r>
    <r>
      <rPr>
        <sz val="11"/>
        <color rgb="FF222222"/>
        <rFont val="Arial"/>
        <family val="2"/>
      </rPr>
      <t>, </t>
    </r>
    <r>
      <rPr>
        <sz val="11"/>
        <color rgb="FF1155CC"/>
        <rFont val="Arial"/>
        <family val="2"/>
      </rPr>
      <t>404-385-0303</t>
    </r>
    <r>
      <rPr>
        <sz val="11"/>
        <color rgb="FF222222"/>
        <rFont val="Arial"/>
        <family val="2"/>
      </rPr>
      <t>.</t>
    </r>
  </si>
  <si>
    <t>This program is free software; you can redistribute it and/or modify it under the terms of the GNU General Public License (v2) as published by the Free Software Foundation (http://opensource.org/licenses/GPL-2.0).</t>
  </si>
  <si>
    <t>GT-DSM evaluates the economics of energy efficiency programs operated by electric utilities.  It was written by Marilyn Brown, Alexander Smith, and Benjamin Staver.
Copyright (C) 2014 Georgia Tech Research Corporation.</t>
  </si>
  <si>
    <t>To receive a copy of the GNU General Public License, write to the Free Software Foundation, Inc., 59 Temple Place, Suite 330, Boston, MA 02111-1307 USA.</t>
  </si>
  <si>
    <t>Program Incentive Cost in Y1</t>
  </si>
  <si>
    <t>%/years</t>
  </si>
  <si>
    <t>EE Program Overhead Cost</t>
  </si>
  <si>
    <t>Years between rate adjustment</t>
  </si>
  <si>
    <t>Avg Change in Incentive Cost</t>
  </si>
  <si>
    <t>Residential Customer Info:</t>
  </si>
  <si>
    <t>Commercial &amp; Industrial Customer Info:</t>
  </si>
  <si>
    <t>Residential Program Info:</t>
  </si>
  <si>
    <t>EE Program Cost Recovery</t>
  </si>
  <si>
    <t>Lost Fixed Cost Recovery</t>
  </si>
  <si>
    <t>Use-Shift</t>
  </si>
  <si>
    <t>Year of next rate case</t>
  </si>
  <si>
    <t>Program Admin Cost in Y1</t>
  </si>
  <si>
    <t>Avg Change in Admin Cost</t>
  </si>
  <si>
    <t>Percent Change Breakdown</t>
  </si>
  <si>
    <t>Discount Rate Sub-Module</t>
  </si>
  <si>
    <t>CBA Comparison Sub-Module</t>
  </si>
  <si>
    <t>Other CBA Components Sub-Module</t>
  </si>
  <si>
    <t/>
  </si>
  <si>
    <t>Commercial &amp; Industrial DSM Program</t>
  </si>
  <si>
    <t>Cost-Benefit Analysis Sector</t>
  </si>
  <si>
    <t>10-Year NPV</t>
  </si>
  <si>
    <t>25-Year NPV</t>
  </si>
  <si>
    <t>Utility Value</t>
  </si>
  <si>
    <t>CBA - Residential</t>
  </si>
  <si>
    <t>CBA - C&amp;I</t>
  </si>
  <si>
    <t>Total RIM Benefits</t>
  </si>
  <si>
    <t>Net Annual RIM Benefits</t>
  </si>
  <si>
    <t>Total Annual RIM Benefits</t>
  </si>
  <si>
    <t>Total Annual RIM Costs</t>
  </si>
  <si>
    <t>Total RIM Costs</t>
  </si>
  <si>
    <t>$MM</t>
  </si>
  <si>
    <t>Total TRC Costs</t>
  </si>
  <si>
    <t>Total Annual TRC Costs</t>
  </si>
  <si>
    <t>Total Annual TRC benefits</t>
  </si>
  <si>
    <t>Total TRC Benefits</t>
  </si>
  <si>
    <t>Net Annual TRC Benefits</t>
  </si>
  <si>
    <t>Total Net TRC Benefits</t>
  </si>
  <si>
    <t>Total NPV</t>
  </si>
  <si>
    <t>10 yrs NPV</t>
  </si>
  <si>
    <t>Total Annual PAC costs</t>
  </si>
  <si>
    <t>Total Net PAC Benefits</t>
  </si>
  <si>
    <t>Net Annual PAC Benefits</t>
  </si>
  <si>
    <t>Total Annual PCT costs</t>
  </si>
  <si>
    <t>Net Annual PCT Benefits</t>
  </si>
  <si>
    <t>Test Comparison</t>
  </si>
  <si>
    <t>Test Breakdown</t>
  </si>
  <si>
    <t>Total Net RIM Benefits</t>
  </si>
  <si>
    <t>Participant Incremental Cost</t>
  </si>
  <si>
    <t>Program Admin Costs</t>
  </si>
  <si>
    <t>Program Incentives Paid</t>
  </si>
  <si>
    <t>Avoided Supply Costs</t>
  </si>
  <si>
    <t>Lost Revenues</t>
  </si>
  <si>
    <t>Program Incentives Received</t>
  </si>
  <si>
    <t>C&amp;I DSM Program</t>
  </si>
  <si>
    <t>RIM Discount Rate</t>
  </si>
  <si>
    <t>TRC Discount Rate</t>
  </si>
  <si>
    <t>PAC Discount Rate</t>
  </si>
  <si>
    <t>Use Utility WACC for RIM, TRC, and PAC discount rate?</t>
  </si>
  <si>
    <t>Tests</t>
  </si>
  <si>
    <t>Off-peak variable rate</t>
  </si>
  <si>
    <t>On-peak variable rate</t>
  </si>
  <si>
    <t>Annual Bill Change</t>
  </si>
  <si>
    <t>Cumulative Bill Change</t>
  </si>
  <si>
    <t>Annual incremental energy savings</t>
  </si>
  <si>
    <t>$/kW-year</t>
  </si>
  <si>
    <t>Avoided capacity costs</t>
  </si>
  <si>
    <t>Off-peak avoided energy costs</t>
  </si>
  <si>
    <t>On-peak avoided energy costs</t>
  </si>
  <si>
    <t>Growth forecast cumulative demand savings</t>
  </si>
  <si>
    <t>Growth forecast cumulative off-peak savings</t>
  </si>
  <si>
    <t>Growth forecast cumulative on-peak savings</t>
  </si>
  <si>
    <t>Growth forecast cumulative savings</t>
  </si>
  <si>
    <t>Avoided supply costs</t>
  </si>
  <si>
    <t>Customer Bill Change</t>
  </si>
  <si>
    <t>Incentives Paid</t>
  </si>
  <si>
    <t>Administrative Costs</t>
  </si>
  <si>
    <t>Participant Measure Cost</t>
  </si>
  <si>
    <t>Avoided Capacity Cost</t>
  </si>
  <si>
    <t>$/kWh-year</t>
  </si>
  <si>
    <t>Participant Cost</t>
  </si>
  <si>
    <t>Commercial</t>
  </si>
  <si>
    <t>Customer Discount Rate</t>
  </si>
  <si>
    <t>Avoided Cost on Demand</t>
  </si>
  <si>
    <t>Avoided Cost Volumetricly</t>
  </si>
  <si>
    <t>Commercial &amp; Industrial Program Info:</t>
  </si>
  <si>
    <t>Avoided Capacity Cost Sub-Module</t>
  </si>
  <si>
    <t>% Difference</t>
  </si>
  <si>
    <t>Straight Fixed</t>
  </si>
  <si>
    <t>Levelized Cost of EE w/Use Shift</t>
  </si>
  <si>
    <t>Levelized Cost of EE w/Use Shift &amp; Incentives</t>
  </si>
  <si>
    <t>Possible basis for incentives</t>
  </si>
  <si>
    <t>Bill Savings by Program Year</t>
  </si>
  <si>
    <t>Residential Additional Info</t>
  </si>
  <si>
    <t>C&amp;I Additional Info</t>
  </si>
  <si>
    <t>Electric AC</t>
  </si>
  <si>
    <t>Percentage of Cap Basis</t>
  </si>
  <si>
    <t>list</t>
  </si>
  <si>
    <t>Incentive Limits</t>
  </si>
  <si>
    <t>Incentive Cap</t>
  </si>
  <si>
    <t>Incentive Cap Basis</t>
  </si>
  <si>
    <t>Incentive Threshold Basis</t>
  </si>
  <si>
    <t>EE Cost</t>
  </si>
  <si>
    <t>Residential Incentive Cap</t>
  </si>
  <si>
    <t>C&amp;I Incentive Cap</t>
  </si>
  <si>
    <t>input right</t>
  </si>
  <si>
    <t>Residential Threshold</t>
  </si>
  <si>
    <t>C&amp;I Threshold</t>
  </si>
  <si>
    <t>Grossed Savings</t>
  </si>
  <si>
    <t>Residential Net-to-Gross Ratio</t>
  </si>
  <si>
    <t>C&amp;I Net-to-Gross Ratio</t>
  </si>
  <si>
    <t>Incentive % if Threshold not met</t>
  </si>
  <si>
    <t>year (e.g. Y0 = 0)</t>
  </si>
  <si>
    <t>Performance Threshold for Incentive</t>
  </si>
  <si>
    <t>Incentive Calculations</t>
  </si>
  <si>
    <t>Incentive Basis</t>
  </si>
  <si>
    <t>Residential Incentive Income</t>
  </si>
  <si>
    <t>Commercial Incentive Income</t>
  </si>
  <si>
    <t>Percent of Incentive Basis Returned to the Utility</t>
  </si>
  <si>
    <t>Performance Threshold for Incentive Outcomes</t>
  </si>
  <si>
    <t>Residential Incentive Outcome</t>
  </si>
  <si>
    <t>C&amp;I Incentive Outcome</t>
  </si>
  <si>
    <t>Program C</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</si>
</sst>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_(&quot;$&quot;* #,##0.0000_);_(&quot;$&quot;* \(#,##0.0000\);_(&quot;$&quot;* &quot;-&quot;??_);_(@_)"/>
    <numFmt numFmtId="167" formatCode="_(&quot;$&quot;* #,##0_);_(&quot;$&quot;* \(#,##0\);_(&quot;$&quot;* &quot;-&quot;??_);_(@_)"/>
    <numFmt numFmtId="168" formatCode="_(* #,##0.0000_);_(* \(#,##0.0000\);_(* &quot;-&quot;??_);_(@_)"/>
    <numFmt numFmtId="169" formatCode="_(&quot;$&quot;* #,##0.000_);_(&quot;$&quot;* \(#,##0.000\);_(&quot;$&quot;* &quot;-&quot;??_);_(@_)"/>
    <numFmt numFmtId="170" formatCode="&quot;$&quot;#,##0.00"/>
    <numFmt numFmtId="171" formatCode="_(\$* #,##0.00_);_(\$* \(#,##0.00\);_(\$* \-??_);_(@_)"/>
    <numFmt numFmtId="172" formatCode="&quot;$&quot;#,##0"/>
    <numFmt numFmtId="173" formatCode="_(* #,##0.000_);_(* \(#,##0.000\);_(* &quot;-&quot;??_);_(@_)"/>
    <numFmt numFmtId="174" formatCode="_(&quot;$&quot;* #,##0.00000_);_(&quot;$&quot;* \(#,##0.00000\);_(&quot;$&quot;* &quot;-&quot;??_);_(@_)"/>
    <numFmt numFmtId="175" formatCode="_(&quot;$&quot;* #,##0.0_);_(&quot;$&quot;* \(#,##0.0\);_(&quot;$&quot;* &quot;-&quot;??_);_(@_)"/>
    <numFmt numFmtId="176" formatCode="&quot;$&quot;#,##0.0"/>
    <numFmt numFmtId="177" formatCode="0.000%"/>
    <numFmt numFmtId="178" formatCode="_(&quot;$&quot;* #,##0.000000_);_(&quot;$&quot;* \(#,##0.000000\);_(&quot;$&quot;* &quot;-&quot;??_);_(@_)"/>
  </numFmts>
  <fonts count="44" x14ac:knownFonts="1">
    <font>
      <sz val="12"/>
      <color theme="1"/>
      <name val="Calibri"/>
      <family val="2"/>
      <scheme val="minor"/>
    </font>
    <font>
      <sz val="12"/>
      <color theme="1"/>
      <name val="Calibri"/>
      <family val="2"/>
      <scheme val="minor"/>
    </font>
    <font>
      <sz val="12"/>
      <color theme="1"/>
      <name val="Calibri"/>
      <family val="2"/>
      <scheme val="minor"/>
    </font>
    <font>
      <sz val="10"/>
      <name val="MS Sans Serif"/>
      <family val="2"/>
    </font>
    <font>
      <sz val="10"/>
      <name val="Arial"/>
      <family val="2"/>
    </font>
    <font>
      <sz val="12"/>
      <color theme="1"/>
      <name val="Calibri"/>
      <family val="2"/>
      <scheme val="minor"/>
    </font>
    <font>
      <sz val="11"/>
      <color theme="1"/>
      <name val="Calibri"/>
      <family val="2"/>
      <scheme val="minor"/>
    </font>
    <font>
      <sz val="11"/>
      <color rgb="FF9C0006"/>
      <name val="Calibri"/>
      <family val="2"/>
      <scheme val="minor"/>
    </font>
    <font>
      <u/>
      <sz val="10"/>
      <color theme="10"/>
      <name val="Arial"/>
      <family val="2"/>
    </font>
    <font>
      <sz val="11"/>
      <color rgb="FF9C6500"/>
      <name val="Calibri"/>
      <family val="2"/>
      <scheme val="minor"/>
    </font>
    <font>
      <b/>
      <sz val="12"/>
      <color theme="1"/>
      <name val="Calibri"/>
      <family val="2"/>
      <scheme val="minor"/>
    </font>
    <font>
      <sz val="12"/>
      <color rgb="FF000000"/>
      <name val="Calibri"/>
      <family val="2"/>
      <scheme val="minor"/>
    </font>
    <font>
      <i/>
      <sz val="12"/>
      <color theme="1"/>
      <name val="Calibri"/>
      <family val="2"/>
      <scheme val="minor"/>
    </font>
    <font>
      <sz val="12"/>
      <color theme="5"/>
      <name val="Calibri"/>
      <family val="2"/>
      <scheme val="minor"/>
    </font>
    <font>
      <sz val="12"/>
      <color theme="3"/>
      <name val="Calibri"/>
      <family val="2"/>
      <scheme val="minor"/>
    </font>
    <font>
      <sz val="12"/>
      <name val="Calibri"/>
      <family val="2"/>
      <scheme val="minor"/>
    </font>
    <font>
      <b/>
      <i/>
      <sz val="12"/>
      <color theme="1"/>
      <name val="Calibri"/>
      <family val="2"/>
      <scheme val="minor"/>
    </font>
    <font>
      <sz val="12"/>
      <color theme="6"/>
      <name val="Calibri"/>
      <family val="2"/>
      <scheme val="minor"/>
    </font>
    <font>
      <i/>
      <sz val="12"/>
      <color rgb="FF000000"/>
      <name val="Calibri"/>
      <family val="2"/>
      <scheme val="minor"/>
    </font>
    <font>
      <b/>
      <i/>
      <sz val="12"/>
      <name val="Calibri"/>
      <family val="2"/>
      <scheme val="minor"/>
    </font>
    <font>
      <b/>
      <i/>
      <sz val="12"/>
      <color rgb="FF000000"/>
      <name val="Calibri"/>
      <family val="2"/>
      <scheme val="minor"/>
    </font>
    <font>
      <u/>
      <sz val="12"/>
      <color theme="10"/>
      <name val="Calibri"/>
      <family val="2"/>
      <scheme val="minor"/>
    </font>
    <font>
      <u/>
      <sz val="12"/>
      <color theme="11"/>
      <name val="Calibri"/>
      <family val="2"/>
      <scheme val="minor"/>
    </font>
    <font>
      <i/>
      <sz val="12"/>
      <name val="Calibri"/>
      <family val="2"/>
      <scheme val="minor"/>
    </font>
    <font>
      <b/>
      <sz val="12"/>
      <name val="Calibri"/>
      <family val="2"/>
      <scheme val="minor"/>
    </font>
    <font>
      <b/>
      <u/>
      <sz val="12"/>
      <color theme="1"/>
      <name val="Calibri"/>
      <family val="2"/>
      <scheme val="minor"/>
    </font>
    <font>
      <b/>
      <u/>
      <sz val="12"/>
      <name val="Calibri"/>
      <family val="2"/>
      <scheme val="minor"/>
    </font>
    <font>
      <sz val="11"/>
      <color indexed="8"/>
      <name val="Calibri"/>
      <family val="2"/>
    </font>
    <font>
      <i/>
      <sz val="11"/>
      <color indexed="8"/>
      <name val="Calibri"/>
      <family val="2"/>
    </font>
    <font>
      <b/>
      <sz val="16"/>
      <color theme="1"/>
      <name val="Calibri"/>
      <family val="2"/>
      <scheme val="minor"/>
    </font>
    <font>
      <sz val="12"/>
      <color rgb="FFFF0000"/>
      <name val="Calibri"/>
      <family val="2"/>
      <scheme val="minor"/>
    </font>
    <font>
      <b/>
      <sz val="12"/>
      <color indexed="8"/>
      <name val="Calibri"/>
      <family val="2"/>
    </font>
    <font>
      <b/>
      <i/>
      <sz val="16"/>
      <color indexed="8"/>
      <name val="Calibri"/>
      <family val="2"/>
    </font>
    <font>
      <sz val="24"/>
      <color theme="1"/>
      <name val="Calibri"/>
      <family val="2"/>
      <scheme val="minor"/>
    </font>
    <font>
      <sz val="11"/>
      <color rgb="FF222222"/>
      <name val="Arial"/>
      <family val="2"/>
    </font>
    <font>
      <sz val="11"/>
      <color rgb="FF1155CC"/>
      <name val="Arial"/>
      <family val="2"/>
    </font>
    <font>
      <strike/>
      <sz val="12"/>
      <color theme="5" tint="0.79998168889431442"/>
      <name val="Calibri"/>
      <scheme val="minor"/>
    </font>
    <font>
      <b/>
      <i/>
      <sz val="16"/>
      <color theme="6"/>
      <name val="Calibri"/>
      <scheme val="minor"/>
    </font>
    <font>
      <b/>
      <i/>
      <sz val="16"/>
      <color indexed="8"/>
      <name val="Calibri"/>
      <scheme val="minor"/>
    </font>
    <font>
      <b/>
      <i/>
      <sz val="12"/>
      <color theme="6"/>
      <name val="Calibri"/>
      <scheme val="minor"/>
    </font>
    <font>
      <b/>
      <i/>
      <sz val="12"/>
      <color indexed="8"/>
      <name val="Calibri"/>
      <scheme val="minor"/>
    </font>
    <font>
      <sz val="12"/>
      <color indexed="8"/>
      <name val="Calibri"/>
      <scheme val="minor"/>
    </font>
    <font>
      <sz val="12"/>
      <color indexed="8"/>
      <name val="Calibri"/>
    </font>
    <font>
      <b/>
      <sz val="12"/>
      <color theme="4"/>
      <name val="Calibri"/>
      <scheme val="minor"/>
    </font>
  </fonts>
  <fills count="17">
    <fill>
      <patternFill patternType="none"/>
    </fill>
    <fill>
      <patternFill patternType="gray125"/>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
      <patternFill patternType="solid">
        <fgColor theme="0" tint="-4.9989318521683403E-2"/>
        <bgColor rgb="FF000000"/>
      </patternFill>
    </fill>
    <fill>
      <patternFill patternType="solid">
        <fgColor rgb="FFFFFFFF"/>
        <bgColor rgb="FF000000"/>
      </patternFill>
    </fill>
    <fill>
      <patternFill patternType="lightDown">
        <bgColor theme="0"/>
      </patternFill>
    </fill>
    <fill>
      <patternFill patternType="solid">
        <fgColor theme="0" tint="-0.14999847407452621"/>
        <bgColor rgb="FF000000"/>
      </patternFill>
    </fill>
    <fill>
      <patternFill patternType="solid">
        <fgColor theme="0" tint="-0.249977111117893"/>
        <bgColor indexed="64"/>
      </patternFill>
    </fill>
    <fill>
      <patternFill patternType="lightDown">
        <bgColor theme="0" tint="-0.14999847407452621"/>
      </patternFill>
    </fill>
    <fill>
      <patternFill patternType="solid">
        <fgColor rgb="FFD9D9D9"/>
        <bgColor rgb="FF000000"/>
      </patternFill>
    </fill>
    <fill>
      <patternFill patternType="lightDown">
        <bgColor theme="0" tint="-4.9989318521683403E-2"/>
      </patternFill>
    </fill>
  </fills>
  <borders count="13">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s>
  <cellStyleXfs count="1974">
    <xf numFmtId="0" fontId="0" fillId="0" borderId="0"/>
    <xf numFmtId="0" fontId="6" fillId="2" borderId="0" applyNumberFormat="0" applyBorder="0" applyAlignment="0" applyProtection="0"/>
    <xf numFmtId="0" fontId="7" fillId="3" borderId="0" applyNumberFormat="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171" fontId="4" fillId="0" borderId="0" applyFill="0" applyBorder="0" applyAlignment="0" applyProtection="0"/>
    <xf numFmtId="44" fontId="4" fillId="0" borderId="0" applyFont="0" applyFill="0" applyBorder="0" applyAlignment="0" applyProtection="0"/>
    <xf numFmtId="0" fontId="8" fillId="0" borderId="0" applyNumberFormat="0" applyFill="0" applyBorder="0" applyAlignment="0" applyProtection="0">
      <alignment vertical="top"/>
      <protection locked="0"/>
    </xf>
    <xf numFmtId="0" fontId="9" fillId="4" borderId="0" applyNumberFormat="0" applyBorder="0" applyAlignment="0" applyProtection="0"/>
    <xf numFmtId="0" fontId="4" fillId="0" borderId="0"/>
    <xf numFmtId="0" fontId="3" fillId="0" borderId="0"/>
    <xf numFmtId="0" fontId="6" fillId="0" borderId="0"/>
    <xf numFmtId="0" fontId="5" fillId="0" borderId="0"/>
    <xf numFmtId="9" fontId="5" fillId="0" borderId="0" applyFont="0" applyFill="0" applyBorder="0" applyAlignment="0" applyProtection="0"/>
    <xf numFmtId="9" fontId="4" fillId="0" borderId="0" applyFill="0" applyBorder="0" applyAlignment="0" applyProtection="0"/>
    <xf numFmtId="9" fontId="6" fillId="0" borderId="0" applyFont="0" applyFill="0" applyBorder="0" applyAlignment="0" applyProtection="0"/>
    <xf numFmtId="9" fontId="4"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812">
    <xf numFmtId="0" fontId="0" fillId="0" borderId="0" xfId="0"/>
    <xf numFmtId="0" fontId="11" fillId="0" borderId="0" xfId="0" applyFont="1"/>
    <xf numFmtId="0" fontId="0" fillId="5" borderId="1" xfId="0" applyFill="1" applyBorder="1" applyAlignment="1">
      <alignment horizontal="left"/>
    </xf>
    <xf numFmtId="0" fontId="0" fillId="5" borderId="0" xfId="0" applyFill="1" applyBorder="1" applyAlignment="1">
      <alignment horizontal="left"/>
    </xf>
    <xf numFmtId="0" fontId="0" fillId="5" borderId="1" xfId="0" applyFill="1" applyBorder="1"/>
    <xf numFmtId="0" fontId="0" fillId="5" borderId="0" xfId="0" applyFill="1" applyBorder="1"/>
    <xf numFmtId="0" fontId="0" fillId="5" borderId="2" xfId="0" applyFill="1" applyBorder="1"/>
    <xf numFmtId="0" fontId="0" fillId="5" borderId="3" xfId="0" applyFill="1" applyBorder="1"/>
    <xf numFmtId="0" fontId="0" fillId="6" borderId="1" xfId="0" applyFill="1" applyBorder="1" applyAlignment="1">
      <alignment horizontal="left"/>
    </xf>
    <xf numFmtId="0" fontId="0" fillId="6" borderId="0" xfId="0" applyFill="1" applyBorder="1" applyAlignment="1">
      <alignment horizontal="left"/>
    </xf>
    <xf numFmtId="0" fontId="0" fillId="6" borderId="1" xfId="0" applyFill="1" applyBorder="1"/>
    <xf numFmtId="0" fontId="0" fillId="6" borderId="0" xfId="0" applyFill="1" applyBorder="1"/>
    <xf numFmtId="0" fontId="0" fillId="5" borderId="0" xfId="0" applyFill="1" applyBorder="1" applyAlignment="1">
      <alignment horizontal="center"/>
    </xf>
    <xf numFmtId="0" fontId="0" fillId="5" borderId="3" xfId="0" applyFill="1" applyBorder="1" applyAlignment="1">
      <alignment horizontal="center"/>
    </xf>
    <xf numFmtId="0" fontId="0" fillId="0" borderId="0" xfId="0" applyBorder="1" applyAlignment="1"/>
    <xf numFmtId="0" fontId="0" fillId="6" borderId="4" xfId="0" applyFill="1" applyBorder="1" applyAlignment="1">
      <alignment horizontal="left"/>
    </xf>
    <xf numFmtId="0" fontId="0" fillId="6" borderId="5" xfId="0" applyFill="1" applyBorder="1" applyAlignment="1">
      <alignment horizontal="left"/>
    </xf>
    <xf numFmtId="0" fontId="0" fillId="6" borderId="0" xfId="0" applyFill="1" applyBorder="1" applyAlignment="1">
      <alignment horizontal="center"/>
    </xf>
    <xf numFmtId="0" fontId="0" fillId="6" borderId="1" xfId="0" applyFill="1" applyBorder="1" applyAlignment="1"/>
    <xf numFmtId="0" fontId="0" fillId="6" borderId="0" xfId="0" applyFill="1" applyBorder="1" applyAlignment="1"/>
    <xf numFmtId="0" fontId="0" fillId="6" borderId="6" xfId="0" applyFill="1" applyBorder="1"/>
    <xf numFmtId="0" fontId="0" fillId="6" borderId="0" xfId="0" applyFill="1"/>
    <xf numFmtId="9" fontId="13" fillId="6" borderId="0" xfId="16" applyFont="1" applyFill="1" applyBorder="1"/>
    <xf numFmtId="0" fontId="0" fillId="6" borderId="1" xfId="0" applyFont="1" applyFill="1" applyBorder="1" applyAlignment="1"/>
    <xf numFmtId="0" fontId="0" fillId="6" borderId="0" xfId="0" applyFont="1" applyFill="1" applyBorder="1" applyAlignment="1"/>
    <xf numFmtId="0" fontId="0" fillId="6" borderId="0" xfId="0" applyFont="1" applyFill="1" applyBorder="1" applyAlignment="1">
      <alignment horizontal="left"/>
    </xf>
    <xf numFmtId="0" fontId="0" fillId="6" borderId="2" xfId="0" applyFill="1" applyBorder="1"/>
    <xf numFmtId="0" fontId="13" fillId="6" borderId="3" xfId="0" applyFont="1" applyFill="1" applyBorder="1"/>
    <xf numFmtId="0" fontId="12" fillId="5" borderId="7" xfId="0" applyFont="1" applyFill="1" applyBorder="1" applyAlignment="1">
      <alignment horizontal="center"/>
    </xf>
    <xf numFmtId="0" fontId="0" fillId="6" borderId="3" xfId="0" applyFill="1" applyBorder="1"/>
    <xf numFmtId="0" fontId="0" fillId="6" borderId="8" xfId="0" applyFill="1" applyBorder="1"/>
    <xf numFmtId="0" fontId="0" fillId="6" borderId="4" xfId="0" applyFill="1" applyBorder="1"/>
    <xf numFmtId="0" fontId="0" fillId="6" borderId="5" xfId="0" applyFill="1" applyBorder="1"/>
    <xf numFmtId="44" fontId="5" fillId="6" borderId="0" xfId="7" applyFont="1" applyFill="1" applyBorder="1"/>
    <xf numFmtId="44" fontId="5" fillId="5" borderId="0" xfId="7" applyFont="1" applyFill="1" applyBorder="1"/>
    <xf numFmtId="0" fontId="0" fillId="6" borderId="3" xfId="0" applyFill="1" applyBorder="1" applyAlignment="1">
      <alignment horizontal="center"/>
    </xf>
    <xf numFmtId="165" fontId="13" fillId="6" borderId="0" xfId="3" applyNumberFormat="1" applyFont="1" applyFill="1" applyBorder="1"/>
    <xf numFmtId="167" fontId="5" fillId="5" borderId="0" xfId="7" applyNumberFormat="1" applyFont="1" applyFill="1" applyBorder="1"/>
    <xf numFmtId="167" fontId="5" fillId="5" borderId="6" xfId="7" applyNumberFormat="1" applyFont="1" applyFill="1" applyBorder="1"/>
    <xf numFmtId="165" fontId="5" fillId="6" borderId="0" xfId="3" applyNumberFormat="1" applyFont="1" applyFill="1" applyBorder="1"/>
    <xf numFmtId="165" fontId="5" fillId="6" borderId="6" xfId="3" applyNumberFormat="1" applyFont="1" applyFill="1" applyBorder="1"/>
    <xf numFmtId="165" fontId="5" fillId="5" borderId="0" xfId="3" applyNumberFormat="1" applyFont="1" applyFill="1" applyBorder="1"/>
    <xf numFmtId="165" fontId="5" fillId="5" borderId="6" xfId="3" applyNumberFormat="1" applyFont="1" applyFill="1" applyBorder="1"/>
    <xf numFmtId="165" fontId="5" fillId="5" borderId="0" xfId="3" applyNumberFormat="1" applyFont="1" applyFill="1" applyBorder="1" applyAlignment="1">
      <alignment horizontal="center"/>
    </xf>
    <xf numFmtId="166" fontId="5" fillId="6" borderId="0" xfId="7" applyNumberFormat="1" applyFont="1" applyFill="1" applyBorder="1"/>
    <xf numFmtId="166" fontId="5" fillId="6" borderId="6" xfId="7" applyNumberFormat="1" applyFont="1" applyFill="1" applyBorder="1"/>
    <xf numFmtId="165" fontId="5" fillId="6" borderId="0" xfId="3" applyNumberFormat="1" applyFont="1" applyFill="1" applyBorder="1" applyAlignment="1">
      <alignment horizontal="center"/>
    </xf>
    <xf numFmtId="0" fontId="0" fillId="0" borderId="0" xfId="0" applyFill="1" applyBorder="1" applyAlignment="1"/>
    <xf numFmtId="165" fontId="0" fillId="5" borderId="0" xfId="0" applyNumberFormat="1" applyFill="1" applyBorder="1"/>
    <xf numFmtId="0" fontId="10" fillId="0" borderId="0" xfId="0" applyFont="1"/>
    <xf numFmtId="0" fontId="0" fillId="6" borderId="0" xfId="0" applyFill="1" applyAlignment="1">
      <alignment horizontal="center"/>
    </xf>
    <xf numFmtId="0" fontId="0" fillId="7" borderId="0" xfId="0" applyFill="1" applyBorder="1"/>
    <xf numFmtId="0" fontId="0" fillId="7" borderId="0" xfId="0" applyFill="1" applyBorder="1" applyAlignment="1">
      <alignment horizontal="center"/>
    </xf>
    <xf numFmtId="44" fontId="0" fillId="7" borderId="0" xfId="0" applyNumberFormat="1" applyFill="1" applyBorder="1"/>
    <xf numFmtId="44" fontId="0" fillId="7" borderId="6" xfId="0" applyNumberFormat="1" applyFill="1" applyBorder="1"/>
    <xf numFmtId="10" fontId="5" fillId="7" borderId="0" xfId="16" applyNumberFormat="1" applyFont="1" applyFill="1" applyBorder="1"/>
    <xf numFmtId="10" fontId="5" fillId="7" borderId="6" xfId="16" applyNumberFormat="1" applyFont="1" applyFill="1" applyBorder="1"/>
    <xf numFmtId="165" fontId="0" fillId="5" borderId="6" xfId="0" applyNumberFormat="1" applyFill="1" applyBorder="1"/>
    <xf numFmtId="0" fontId="0" fillId="0" borderId="0" xfId="0" applyBorder="1"/>
    <xf numFmtId="0" fontId="0" fillId="6" borderId="6" xfId="0" applyFill="1" applyBorder="1" applyAlignment="1">
      <alignment horizontal="center"/>
    </xf>
    <xf numFmtId="44" fontId="0" fillId="6" borderId="0" xfId="0" applyNumberFormat="1" applyFill="1" applyBorder="1"/>
    <xf numFmtId="44" fontId="0" fillId="6" borderId="6" xfId="0" applyNumberFormat="1" applyFill="1" applyBorder="1"/>
    <xf numFmtId="0" fontId="0" fillId="6" borderId="1" xfId="0" applyFill="1" applyBorder="1" applyAlignment="1">
      <alignment horizontal="center"/>
    </xf>
    <xf numFmtId="165" fontId="5" fillId="0" borderId="9" xfId="3" applyNumberFormat="1" applyFont="1" applyFill="1" applyBorder="1"/>
    <xf numFmtId="165" fontId="5" fillId="0" borderId="10" xfId="3" applyNumberFormat="1" applyFont="1" applyFill="1" applyBorder="1"/>
    <xf numFmtId="165" fontId="0" fillId="6" borderId="0" xfId="0" applyNumberFormat="1" applyFill="1" applyBorder="1" applyAlignment="1">
      <alignment horizontal="center"/>
    </xf>
    <xf numFmtId="165" fontId="0" fillId="6" borderId="7" xfId="0" applyNumberFormat="1" applyFill="1" applyBorder="1" applyAlignment="1">
      <alignment horizontal="center"/>
    </xf>
    <xf numFmtId="165" fontId="0" fillId="6" borderId="6" xfId="0" applyNumberFormat="1" applyFill="1" applyBorder="1" applyAlignment="1">
      <alignment horizontal="center"/>
    </xf>
    <xf numFmtId="44" fontId="0" fillId="5" borderId="0" xfId="0" applyNumberFormat="1" applyFill="1" applyBorder="1"/>
    <xf numFmtId="44" fontId="0" fillId="5" borderId="6" xfId="0" applyNumberFormat="1" applyFill="1" applyBorder="1"/>
    <xf numFmtId="10" fontId="5" fillId="5" borderId="3" xfId="16" applyNumberFormat="1" applyFont="1" applyFill="1" applyBorder="1"/>
    <xf numFmtId="10" fontId="5" fillId="5" borderId="8" xfId="16" applyNumberFormat="1" applyFont="1" applyFill="1" applyBorder="1"/>
    <xf numFmtId="0" fontId="11" fillId="5" borderId="5" xfId="0" applyFont="1" applyFill="1" applyBorder="1"/>
    <xf numFmtId="0" fontId="11" fillId="5" borderId="7" xfId="0" applyFont="1" applyFill="1" applyBorder="1"/>
    <xf numFmtId="0" fontId="0" fillId="5" borderId="5" xfId="0" applyFont="1" applyFill="1" applyBorder="1"/>
    <xf numFmtId="0" fontId="0" fillId="5" borderId="7" xfId="0" applyFont="1" applyFill="1" applyBorder="1"/>
    <xf numFmtId="0" fontId="0" fillId="0" borderId="0" xfId="0" applyAlignment="1">
      <alignment horizontal="center"/>
    </xf>
    <xf numFmtId="0" fontId="0" fillId="6" borderId="7" xfId="0" applyFill="1" applyBorder="1"/>
    <xf numFmtId="0" fontId="0" fillId="6" borderId="8" xfId="0" applyFill="1" applyBorder="1" applyAlignment="1">
      <alignment horizontal="center"/>
    </xf>
    <xf numFmtId="10" fontId="5" fillId="0" borderId="0" xfId="16" applyNumberFormat="1" applyFont="1" applyBorder="1"/>
    <xf numFmtId="43" fontId="5" fillId="0" borderId="0" xfId="3" applyNumberFormat="1" applyFont="1" applyBorder="1"/>
    <xf numFmtId="2" fontId="0" fillId="0" borderId="0" xfId="0" applyNumberFormat="1"/>
    <xf numFmtId="165" fontId="5" fillId="7" borderId="0" xfId="3" applyNumberFormat="1" applyFont="1" applyFill="1" applyBorder="1"/>
    <xf numFmtId="165" fontId="5" fillId="7" borderId="6" xfId="3" applyNumberFormat="1" applyFont="1" applyFill="1" applyBorder="1"/>
    <xf numFmtId="165" fontId="0" fillId="0" borderId="0" xfId="0" applyNumberFormat="1"/>
    <xf numFmtId="167" fontId="13" fillId="6" borderId="0" xfId="7" applyNumberFormat="1" applyFont="1" applyFill="1" applyBorder="1" applyAlignment="1">
      <alignment horizontal="right"/>
    </xf>
    <xf numFmtId="164" fontId="13" fillId="6" borderId="0" xfId="16" applyNumberFormat="1" applyFont="1" applyFill="1" applyBorder="1" applyAlignment="1">
      <alignment horizontal="right"/>
    </xf>
    <xf numFmtId="0" fontId="12" fillId="5" borderId="5" xfId="0" applyFont="1" applyFill="1" applyBorder="1" applyAlignment="1">
      <alignment horizontal="center"/>
    </xf>
    <xf numFmtId="0" fontId="0" fillId="0" borderId="0" xfId="0" applyAlignment="1">
      <alignment horizontal="center"/>
    </xf>
    <xf numFmtId="0" fontId="0" fillId="0" borderId="0" xfId="0" applyFont="1"/>
    <xf numFmtId="0" fontId="0" fillId="6" borderId="1" xfId="0" applyFont="1" applyFill="1" applyBorder="1"/>
    <xf numFmtId="0" fontId="0" fillId="6" borderId="0" xfId="0" applyFont="1" applyFill="1" applyBorder="1"/>
    <xf numFmtId="0" fontId="0" fillId="6" borderId="2" xfId="0" applyFont="1" applyFill="1" applyBorder="1"/>
    <xf numFmtId="0" fontId="0" fillId="6" borderId="3" xfId="0" applyFont="1" applyFill="1" applyBorder="1"/>
    <xf numFmtId="0" fontId="11" fillId="5" borderId="0" xfId="0" applyFont="1" applyFill="1" applyBorder="1"/>
    <xf numFmtId="165" fontId="13" fillId="6" borderId="0" xfId="3" applyNumberFormat="1" applyFont="1" applyFill="1" applyBorder="1" applyAlignment="1">
      <alignment horizontal="center"/>
    </xf>
    <xf numFmtId="165" fontId="13" fillId="6" borderId="3" xfId="3" applyNumberFormat="1" applyFont="1" applyFill="1" applyBorder="1" applyAlignment="1">
      <alignment horizontal="center"/>
    </xf>
    <xf numFmtId="165" fontId="13" fillId="8" borderId="3" xfId="0" applyNumberFormat="1" applyFont="1" applyFill="1" applyBorder="1" applyAlignment="1">
      <alignment horizontal="center"/>
    </xf>
    <xf numFmtId="165" fontId="13" fillId="8" borderId="3" xfId="0" applyNumberFormat="1" applyFont="1" applyFill="1" applyBorder="1"/>
    <xf numFmtId="165" fontId="13" fillId="8" borderId="8" xfId="0" applyNumberFormat="1" applyFont="1" applyFill="1" applyBorder="1"/>
    <xf numFmtId="0" fontId="11" fillId="5" borderId="6" xfId="0" applyFont="1" applyFill="1" applyBorder="1"/>
    <xf numFmtId="0" fontId="0" fillId="5" borderId="0" xfId="0" applyFont="1" applyFill="1" applyBorder="1"/>
    <xf numFmtId="0" fontId="0" fillId="5" borderId="6" xfId="0" applyFont="1" applyFill="1" applyBorder="1"/>
    <xf numFmtId="0" fontId="12" fillId="5" borderId="5" xfId="0" applyFont="1" applyFill="1" applyBorder="1" applyAlignment="1">
      <alignment horizontal="center"/>
    </xf>
    <xf numFmtId="0" fontId="0" fillId="6" borderId="1" xfId="0" applyFont="1" applyFill="1" applyBorder="1" applyAlignment="1">
      <alignment horizontal="left"/>
    </xf>
    <xf numFmtId="9" fontId="13" fillId="6" borderId="0" xfId="16" applyFont="1" applyFill="1" applyBorder="1" applyAlignment="1">
      <alignment horizontal="right"/>
    </xf>
    <xf numFmtId="0" fontId="0" fillId="6" borderId="6" xfId="0" applyFont="1" applyFill="1" applyBorder="1" applyAlignment="1">
      <alignment horizontal="center"/>
    </xf>
    <xf numFmtId="10" fontId="5" fillId="5" borderId="0" xfId="16" applyNumberFormat="1" applyFont="1" applyFill="1" applyBorder="1"/>
    <xf numFmtId="10" fontId="5" fillId="0" borderId="0" xfId="16" applyNumberFormat="1" applyFont="1" applyFill="1" applyBorder="1"/>
    <xf numFmtId="0" fontId="0" fillId="6" borderId="5" xfId="0" applyFill="1" applyBorder="1" applyAlignment="1">
      <alignment horizontal="center"/>
    </xf>
    <xf numFmtId="165" fontId="5" fillId="6" borderId="5" xfId="3" applyNumberFormat="1" applyFont="1" applyFill="1" applyBorder="1"/>
    <xf numFmtId="165" fontId="5" fillId="6" borderId="7" xfId="3" applyNumberFormat="1" applyFont="1" applyFill="1" applyBorder="1"/>
    <xf numFmtId="167" fontId="5" fillId="6" borderId="0" xfId="7" applyNumberFormat="1" applyFont="1" applyFill="1" applyBorder="1"/>
    <xf numFmtId="167" fontId="5" fillId="6" borderId="6" xfId="7" applyNumberFormat="1" applyFont="1" applyFill="1" applyBorder="1"/>
    <xf numFmtId="10" fontId="5" fillId="5" borderId="6" xfId="16" applyNumberFormat="1" applyFont="1" applyFill="1" applyBorder="1"/>
    <xf numFmtId="44" fontId="5" fillId="6" borderId="0" xfId="7" applyNumberFormat="1" applyFont="1" applyFill="1" applyBorder="1"/>
    <xf numFmtId="167" fontId="5" fillId="6" borderId="5" xfId="7" applyNumberFormat="1" applyFont="1" applyFill="1" applyBorder="1"/>
    <xf numFmtId="167" fontId="5" fillId="6" borderId="7" xfId="7" applyNumberFormat="1" applyFont="1" applyFill="1" applyBorder="1"/>
    <xf numFmtId="165" fontId="0" fillId="6" borderId="0" xfId="0" applyNumberFormat="1" applyFill="1" applyBorder="1" applyAlignment="1"/>
    <xf numFmtId="165" fontId="0" fillId="6" borderId="6" xfId="0" applyNumberFormat="1" applyFill="1" applyBorder="1" applyAlignment="1"/>
    <xf numFmtId="0" fontId="0" fillId="6" borderId="4" xfId="0" applyFill="1" applyBorder="1" applyAlignment="1"/>
    <xf numFmtId="44" fontId="5" fillId="6" borderId="6" xfId="7" applyNumberFormat="1" applyFont="1" applyFill="1" applyBorder="1"/>
    <xf numFmtId="0" fontId="0" fillId="5" borderId="1" xfId="0" applyFill="1" applyBorder="1" applyAlignment="1"/>
    <xf numFmtId="0" fontId="0" fillId="5" borderId="0" xfId="0" applyFill="1" applyBorder="1" applyAlignment="1"/>
    <xf numFmtId="0" fontId="0" fillId="0" borderId="0" xfId="0" applyFill="1" applyAlignment="1">
      <alignment horizontal="center"/>
    </xf>
    <xf numFmtId="0" fontId="0" fillId="6" borderId="5" xfId="0" applyFill="1" applyBorder="1" applyAlignment="1"/>
    <xf numFmtId="165" fontId="5" fillId="6" borderId="5" xfId="3" applyNumberFormat="1" applyFont="1" applyFill="1" applyBorder="1" applyAlignment="1">
      <alignment horizontal="center"/>
    </xf>
    <xf numFmtId="10" fontId="5" fillId="5" borderId="1" xfId="16" applyNumberFormat="1" applyFont="1" applyFill="1" applyBorder="1"/>
    <xf numFmtId="10" fontId="5" fillId="5" borderId="2" xfId="16" applyNumberFormat="1" applyFont="1" applyFill="1" applyBorder="1"/>
    <xf numFmtId="10" fontId="5" fillId="6" borderId="0" xfId="16" applyNumberFormat="1" applyFont="1" applyFill="1" applyBorder="1"/>
    <xf numFmtId="10" fontId="5" fillId="6" borderId="6" xfId="16" applyNumberFormat="1" applyFont="1" applyFill="1" applyBorder="1"/>
    <xf numFmtId="0" fontId="10" fillId="0" borderId="0" xfId="0" applyFont="1" applyAlignment="1"/>
    <xf numFmtId="43" fontId="5" fillId="0" borderId="0" xfId="3" applyFont="1"/>
    <xf numFmtId="170" fontId="0" fillId="0" borderId="0" xfId="0" applyNumberFormat="1"/>
    <xf numFmtId="164" fontId="13" fillId="6" borderId="0" xfId="16" applyNumberFormat="1" applyFont="1" applyFill="1" applyBorder="1"/>
    <xf numFmtId="10" fontId="13" fillId="6" borderId="0" xfId="16" applyNumberFormat="1" applyFont="1" applyFill="1" applyBorder="1"/>
    <xf numFmtId="0" fontId="13" fillId="6" borderId="0" xfId="0" applyFont="1" applyFill="1" applyBorder="1"/>
    <xf numFmtId="10" fontId="13" fillId="6" borderId="0" xfId="0" applyNumberFormat="1" applyFont="1" applyFill="1" applyBorder="1"/>
    <xf numFmtId="0" fontId="0" fillId="6" borderId="3" xfId="0" applyFill="1" applyBorder="1" applyAlignment="1">
      <alignment horizontal="left"/>
    </xf>
    <xf numFmtId="10" fontId="13" fillId="6" borderId="3" xfId="0" applyNumberFormat="1" applyFont="1" applyFill="1" applyBorder="1"/>
    <xf numFmtId="0" fontId="12" fillId="5" borderId="6" xfId="0" applyFont="1" applyFill="1" applyBorder="1" applyAlignment="1">
      <alignment horizontal="center"/>
    </xf>
    <xf numFmtId="0" fontId="12" fillId="5" borderId="0" xfId="0" applyFont="1" applyFill="1" applyBorder="1" applyAlignment="1">
      <alignment horizontal="center"/>
    </xf>
    <xf numFmtId="0" fontId="15" fillId="6" borderId="1" xfId="0" applyFont="1" applyFill="1" applyBorder="1" applyAlignment="1">
      <alignment horizontal="left"/>
    </xf>
    <xf numFmtId="0" fontId="15" fillId="6" borderId="0" xfId="0" applyFont="1" applyFill="1" applyBorder="1" applyAlignment="1">
      <alignment horizontal="left"/>
    </xf>
    <xf numFmtId="0" fontId="15" fillId="6" borderId="6" xfId="0" applyFont="1" applyFill="1" applyBorder="1" applyAlignment="1">
      <alignment horizontal="center"/>
    </xf>
    <xf numFmtId="1" fontId="13" fillId="6" borderId="0" xfId="16" applyNumberFormat="1" applyFont="1" applyFill="1" applyBorder="1" applyAlignment="1">
      <alignment horizontal="right"/>
    </xf>
    <xf numFmtId="10" fontId="13" fillId="6" borderId="0" xfId="0" applyNumberFormat="1" applyFont="1" applyFill="1" applyBorder="1" applyAlignment="1">
      <alignment horizontal="right"/>
    </xf>
    <xf numFmtId="0" fontId="12" fillId="6" borderId="6" xfId="0" applyFont="1" applyFill="1" applyBorder="1" applyAlignment="1">
      <alignment horizontal="center"/>
    </xf>
    <xf numFmtId="0" fontId="16" fillId="6" borderId="5" xfId="0" applyFont="1" applyFill="1" applyBorder="1" applyAlignment="1"/>
    <xf numFmtId="0" fontId="16" fillId="6" borderId="3" xfId="0" applyFont="1" applyFill="1" applyBorder="1" applyAlignment="1"/>
    <xf numFmtId="0" fontId="0" fillId="6" borderId="2" xfId="0" applyFont="1" applyFill="1" applyBorder="1" applyAlignment="1"/>
    <xf numFmtId="0" fontId="0" fillId="0" borderId="0" xfId="0" applyFill="1"/>
    <xf numFmtId="0" fontId="0" fillId="0" borderId="0" xfId="0" applyFill="1" applyBorder="1"/>
    <xf numFmtId="44" fontId="5" fillId="5" borderId="6" xfId="7" applyFont="1" applyFill="1" applyBorder="1"/>
    <xf numFmtId="0" fontId="0" fillId="5" borderId="0" xfId="0" applyFill="1" applyBorder="1" applyAlignment="1">
      <alignment vertical="center"/>
    </xf>
    <xf numFmtId="0" fontId="0" fillId="5" borderId="0" xfId="0" applyFill="1"/>
    <xf numFmtId="44" fontId="5" fillId="5" borderId="0" xfId="7" applyFont="1" applyFill="1" applyBorder="1" applyAlignment="1">
      <alignment vertical="center"/>
    </xf>
    <xf numFmtId="44" fontId="5" fillId="5" borderId="6" xfId="7" applyFont="1" applyFill="1" applyBorder="1" applyAlignment="1">
      <alignment vertical="center"/>
    </xf>
    <xf numFmtId="166" fontId="5" fillId="5" borderId="0" xfId="7" applyNumberFormat="1" applyFont="1" applyFill="1" applyBorder="1"/>
    <xf numFmtId="166" fontId="5" fillId="5" borderId="6" xfId="7" applyNumberFormat="1" applyFont="1" applyFill="1" applyBorder="1"/>
    <xf numFmtId="166" fontId="5" fillId="5" borderId="0" xfId="7" applyNumberFormat="1" applyFont="1" applyFill="1" applyBorder="1" applyAlignment="1">
      <alignment vertical="center"/>
    </xf>
    <xf numFmtId="166" fontId="5" fillId="5" borderId="6" xfId="7" applyNumberFormat="1" applyFont="1" applyFill="1" applyBorder="1" applyAlignment="1">
      <alignment vertical="center"/>
    </xf>
    <xf numFmtId="167" fontId="13" fillId="6" borderId="0" xfId="7" applyNumberFormat="1" applyFont="1" applyFill="1" applyBorder="1"/>
    <xf numFmtId="164" fontId="13" fillId="6" borderId="0" xfId="7" applyNumberFormat="1" applyFont="1" applyFill="1" applyBorder="1"/>
    <xf numFmtId="164" fontId="13" fillId="6" borderId="0" xfId="0" applyNumberFormat="1" applyFont="1" applyFill="1" applyBorder="1"/>
    <xf numFmtId="164" fontId="13" fillId="6" borderId="0" xfId="0" applyNumberFormat="1" applyFont="1" applyFill="1" applyBorder="1" applyAlignment="1">
      <alignment horizontal="right"/>
    </xf>
    <xf numFmtId="10" fontId="13" fillId="6" borderId="0" xfId="16" applyNumberFormat="1" applyFont="1" applyFill="1" applyBorder="1" applyAlignment="1">
      <alignment horizontal="right"/>
    </xf>
    <xf numFmtId="0" fontId="0" fillId="5" borderId="6" xfId="0" applyFill="1" applyBorder="1"/>
    <xf numFmtId="0" fontId="0" fillId="5" borderId="5" xfId="0" applyFill="1" applyBorder="1"/>
    <xf numFmtId="0" fontId="6" fillId="7" borderId="4" xfId="1" applyFill="1" applyBorder="1"/>
    <xf numFmtId="0" fontId="6" fillId="7" borderId="5" xfId="1" applyFill="1" applyBorder="1"/>
    <xf numFmtId="0" fontId="6" fillId="7" borderId="1" xfId="1" applyFill="1" applyBorder="1"/>
    <xf numFmtId="0" fontId="6" fillId="7" borderId="0" xfId="1" applyFill="1" applyBorder="1"/>
    <xf numFmtId="0" fontId="6" fillId="2" borderId="1" xfId="1" applyBorder="1"/>
    <xf numFmtId="0" fontId="6" fillId="2" borderId="0" xfId="1" applyBorder="1"/>
    <xf numFmtId="43" fontId="6" fillId="2" borderId="0" xfId="1" applyNumberFormat="1" applyBorder="1"/>
    <xf numFmtId="0" fontId="6" fillId="2" borderId="6" xfId="1" applyBorder="1"/>
    <xf numFmtId="0" fontId="6" fillId="2" borderId="2" xfId="1" applyBorder="1"/>
    <xf numFmtId="0" fontId="6" fillId="2" borderId="3" xfId="1" applyBorder="1"/>
    <xf numFmtId="0" fontId="6" fillId="7" borderId="3" xfId="1" applyFill="1" applyBorder="1"/>
    <xf numFmtId="167" fontId="5" fillId="5" borderId="3" xfId="7" applyNumberFormat="1" applyFont="1" applyFill="1" applyBorder="1"/>
    <xf numFmtId="167" fontId="5" fillId="5" borderId="8" xfId="7" applyNumberFormat="1" applyFont="1" applyFill="1" applyBorder="1"/>
    <xf numFmtId="0" fontId="14" fillId="0" borderId="0" xfId="0" applyFont="1" applyFill="1" applyBorder="1" applyAlignment="1">
      <alignment horizontal="center"/>
    </xf>
    <xf numFmtId="0" fontId="0" fillId="0" borderId="0" xfId="0"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xf>
    <xf numFmtId="0" fontId="0" fillId="0" borderId="0" xfId="0" applyFont="1" applyFill="1" applyBorder="1" applyAlignment="1">
      <alignment horizontal="center"/>
    </xf>
    <xf numFmtId="0" fontId="9" fillId="0" borderId="0" xfId="11" applyFill="1" applyBorder="1" applyAlignment="1">
      <alignment horizontal="center"/>
    </xf>
    <xf numFmtId="165" fontId="9" fillId="0" borderId="0" xfId="11" applyNumberFormat="1" applyFill="1" applyBorder="1" applyAlignment="1">
      <alignment horizontal="center"/>
    </xf>
    <xf numFmtId="0" fontId="6" fillId="2" borderId="5" xfId="1" applyBorder="1"/>
    <xf numFmtId="0" fontId="6" fillId="2" borderId="7" xfId="1" applyBorder="1"/>
    <xf numFmtId="0" fontId="15" fillId="6" borderId="1" xfId="11" applyFont="1" applyFill="1" applyBorder="1" applyAlignment="1">
      <alignment horizontal="left"/>
    </xf>
    <xf numFmtId="0" fontId="15" fillId="6" borderId="0" xfId="11" applyFont="1" applyFill="1" applyBorder="1" applyAlignment="1">
      <alignment horizontal="left"/>
    </xf>
    <xf numFmtId="0" fontId="15" fillId="6" borderId="6" xfId="11" applyFont="1" applyFill="1" applyBorder="1" applyAlignment="1">
      <alignment horizontal="center"/>
    </xf>
    <xf numFmtId="0" fontId="15" fillId="6" borderId="0" xfId="11" applyFont="1" applyFill="1"/>
    <xf numFmtId="165" fontId="15" fillId="6" borderId="6" xfId="11" applyNumberFormat="1" applyFont="1" applyFill="1" applyBorder="1" applyAlignment="1">
      <alignment horizontal="center"/>
    </xf>
    <xf numFmtId="0" fontId="15" fillId="6" borderId="2" xfId="11" applyFont="1" applyFill="1" applyBorder="1" applyAlignment="1">
      <alignment horizontal="left"/>
    </xf>
    <xf numFmtId="0" fontId="15" fillId="6" borderId="3" xfId="11" applyFont="1" applyFill="1" applyBorder="1" applyAlignment="1">
      <alignment horizontal="left"/>
    </xf>
    <xf numFmtId="0" fontId="15" fillId="6" borderId="8" xfId="11" applyFont="1" applyFill="1" applyBorder="1" applyAlignment="1">
      <alignment horizontal="center"/>
    </xf>
    <xf numFmtId="167" fontId="0" fillId="5" borderId="0" xfId="0" applyNumberFormat="1" applyFill="1" applyBorder="1"/>
    <xf numFmtId="167" fontId="0" fillId="5" borderId="6" xfId="0" applyNumberFormat="1" applyFill="1" applyBorder="1"/>
    <xf numFmtId="167" fontId="0" fillId="6" borderId="0" xfId="0" applyNumberFormat="1" applyFill="1" applyBorder="1"/>
    <xf numFmtId="167" fontId="0" fillId="6" borderId="6" xfId="0" applyNumberFormat="1" applyFill="1" applyBorder="1"/>
    <xf numFmtId="0" fontId="6" fillId="2" borderId="0" xfId="1" applyBorder="1" applyAlignment="1">
      <alignment horizontal="center"/>
    </xf>
    <xf numFmtId="0" fontId="6" fillId="2" borderId="3" xfId="1" applyBorder="1" applyAlignment="1">
      <alignment horizontal="center"/>
    </xf>
    <xf numFmtId="9" fontId="13" fillId="6" borderId="0" xfId="11" applyNumberFormat="1" applyFont="1" applyFill="1" applyBorder="1" applyAlignment="1">
      <alignment horizontal="right"/>
    </xf>
    <xf numFmtId="0" fontId="13" fillId="6" borderId="0" xfId="11" applyFont="1" applyFill="1" applyBorder="1" applyAlignment="1">
      <alignment horizontal="center"/>
    </xf>
    <xf numFmtId="0" fontId="13" fillId="6" borderId="0" xfId="11" applyNumberFormat="1" applyFont="1" applyFill="1" applyBorder="1" applyAlignment="1">
      <alignment horizontal="right"/>
    </xf>
    <xf numFmtId="44" fontId="13" fillId="6" borderId="0" xfId="11" applyNumberFormat="1" applyFont="1" applyFill="1" applyBorder="1" applyAlignment="1">
      <alignment horizontal="right"/>
    </xf>
    <xf numFmtId="0" fontId="13" fillId="6" borderId="3" xfId="11" applyFont="1" applyFill="1" applyBorder="1" applyAlignment="1">
      <alignment horizontal="left"/>
    </xf>
    <xf numFmtId="44" fontId="5" fillId="5" borderId="0" xfId="7" applyNumberFormat="1" applyFont="1" applyFill="1" applyBorder="1"/>
    <xf numFmtId="0" fontId="16" fillId="6" borderId="10" xfId="0" applyFont="1" applyFill="1" applyBorder="1" applyAlignment="1"/>
    <xf numFmtId="0" fontId="16" fillId="6" borderId="11" xfId="0" applyFont="1" applyFill="1" applyBorder="1" applyAlignment="1"/>
    <xf numFmtId="0" fontId="10" fillId="6" borderId="10" xfId="0" applyFont="1" applyFill="1" applyBorder="1" applyAlignment="1"/>
    <xf numFmtId="0" fontId="10" fillId="6" borderId="11" xfId="0" applyFont="1" applyFill="1" applyBorder="1" applyAlignment="1"/>
    <xf numFmtId="0" fontId="19" fillId="6" borderId="10" xfId="0" applyFont="1" applyFill="1" applyBorder="1" applyAlignment="1"/>
    <xf numFmtId="0" fontId="19" fillId="6" borderId="11" xfId="0" applyFont="1" applyFill="1" applyBorder="1" applyAlignment="1"/>
    <xf numFmtId="0" fontId="20" fillId="6" borderId="10" xfId="0" applyFont="1" applyFill="1" applyBorder="1" applyAlignment="1"/>
    <xf numFmtId="0" fontId="20" fillId="6" borderId="12" xfId="0" applyFont="1" applyFill="1" applyBorder="1" applyAlignment="1"/>
    <xf numFmtId="44" fontId="5" fillId="5" borderId="6" xfId="7" applyNumberFormat="1" applyFont="1" applyFill="1" applyBorder="1"/>
    <xf numFmtId="0" fontId="0" fillId="6" borderId="0" xfId="0" applyFill="1" applyBorder="1" applyAlignment="1">
      <alignment vertical="center"/>
    </xf>
    <xf numFmtId="44" fontId="5" fillId="6" borderId="0" xfId="7" applyFont="1" applyFill="1" applyBorder="1" applyAlignment="1">
      <alignment vertical="center"/>
    </xf>
    <xf numFmtId="44" fontId="5" fillId="6" borderId="6" xfId="7" applyFont="1" applyFill="1" applyBorder="1" applyAlignment="1">
      <alignment vertical="center"/>
    </xf>
    <xf numFmtId="166" fontId="5" fillId="6" borderId="0" xfId="7" applyNumberFormat="1" applyFont="1" applyFill="1" applyBorder="1" applyAlignment="1">
      <alignment vertical="center"/>
    </xf>
    <xf numFmtId="0" fontId="16" fillId="6" borderId="8" xfId="0" applyFont="1" applyFill="1" applyBorder="1" applyAlignment="1"/>
    <xf numFmtId="44" fontId="5" fillId="0" borderId="2" xfId="7" applyFont="1" applyFill="1" applyBorder="1"/>
    <xf numFmtId="10" fontId="5" fillId="0" borderId="3" xfId="16" applyNumberFormat="1" applyFont="1" applyFill="1" applyBorder="1"/>
    <xf numFmtId="165" fontId="5" fillId="0" borderId="3" xfId="3" applyNumberFormat="1" applyFont="1" applyFill="1" applyBorder="1"/>
    <xf numFmtId="166" fontId="5" fillId="5" borderId="0" xfId="7" applyNumberFormat="1" applyFont="1" applyFill="1" applyBorder="1" applyAlignment="1">
      <alignment horizontal="center"/>
    </xf>
    <xf numFmtId="0" fontId="12" fillId="6" borderId="1" xfId="0" applyFont="1" applyFill="1" applyBorder="1" applyAlignment="1">
      <alignment horizontal="center"/>
    </xf>
    <xf numFmtId="0" fontId="12" fillId="6" borderId="0" xfId="0" applyFont="1" applyFill="1" applyBorder="1" applyAlignment="1">
      <alignment horizontal="center"/>
    </xf>
    <xf numFmtId="0" fontId="13" fillId="6" borderId="0" xfId="0" applyFont="1" applyFill="1" applyBorder="1" applyAlignment="1">
      <alignment horizontal="right"/>
    </xf>
    <xf numFmtId="0" fontId="0" fillId="7" borderId="1" xfId="0" applyFill="1" applyBorder="1"/>
    <xf numFmtId="0" fontId="6" fillId="6" borderId="7" xfId="1" applyFill="1" applyBorder="1"/>
    <xf numFmtId="0" fontId="6" fillId="6" borderId="6" xfId="1" applyFill="1" applyBorder="1"/>
    <xf numFmtId="0" fontId="6" fillId="6" borderId="8" xfId="1" applyFill="1" applyBorder="1"/>
    <xf numFmtId="0" fontId="12" fillId="5" borderId="5" xfId="0" applyFont="1" applyFill="1" applyBorder="1" applyAlignment="1">
      <alignment horizontal="center"/>
    </xf>
    <xf numFmtId="44" fontId="13" fillId="6" borderId="0" xfId="7" applyFont="1" applyFill="1" applyBorder="1" applyAlignment="1">
      <alignment horizontal="right"/>
    </xf>
    <xf numFmtId="167" fontId="13" fillId="6" borderId="3" xfId="7" applyNumberFormat="1" applyFont="1" applyFill="1" applyBorder="1"/>
    <xf numFmtId="165" fontId="0" fillId="6" borderId="5" xfId="3" applyNumberFormat="1" applyFont="1" applyFill="1" applyBorder="1"/>
    <xf numFmtId="165" fontId="0" fillId="6" borderId="0" xfId="3" applyNumberFormat="1" applyFont="1" applyFill="1" applyBorder="1"/>
    <xf numFmtId="165" fontId="0" fillId="6" borderId="7" xfId="3" applyNumberFormat="1" applyFont="1" applyFill="1" applyBorder="1"/>
    <xf numFmtId="165" fontId="0" fillId="6" borderId="6" xfId="3" applyNumberFormat="1" applyFont="1" applyFill="1" applyBorder="1"/>
    <xf numFmtId="44" fontId="5" fillId="6" borderId="6" xfId="7" applyFont="1" applyFill="1" applyBorder="1"/>
    <xf numFmtId="10" fontId="5" fillId="6" borderId="8" xfId="16" applyNumberFormat="1" applyFont="1" applyFill="1" applyBorder="1"/>
    <xf numFmtId="44" fontId="0" fillId="5" borderId="0" xfId="7" applyFont="1" applyFill="1" applyBorder="1"/>
    <xf numFmtId="10" fontId="0" fillId="6" borderId="0" xfId="16" applyNumberFormat="1" applyFont="1" applyFill="1" applyBorder="1"/>
    <xf numFmtId="10" fontId="0" fillId="6" borderId="3" xfId="16" applyNumberFormat="1" applyFont="1" applyFill="1" applyBorder="1"/>
    <xf numFmtId="44" fontId="0" fillId="5" borderId="6" xfId="7" applyFont="1" applyFill="1" applyBorder="1"/>
    <xf numFmtId="10" fontId="0" fillId="6" borderId="6" xfId="16" applyNumberFormat="1" applyFont="1" applyFill="1" applyBorder="1"/>
    <xf numFmtId="10" fontId="0" fillId="6" borderId="8" xfId="16" applyNumberFormat="1" applyFont="1" applyFill="1" applyBorder="1"/>
    <xf numFmtId="1" fontId="0" fillId="0" borderId="0" xfId="0" applyNumberFormat="1"/>
    <xf numFmtId="44" fontId="0" fillId="0" borderId="0" xfId="0" applyNumberFormat="1"/>
    <xf numFmtId="0" fontId="10" fillId="6" borderId="10" xfId="0" applyFont="1" applyFill="1" applyBorder="1"/>
    <xf numFmtId="0" fontId="10" fillId="6" borderId="11" xfId="0" applyFont="1" applyFill="1" applyBorder="1"/>
    <xf numFmtId="10" fontId="0" fillId="6" borderId="5" xfId="0" applyNumberFormat="1" applyFill="1" applyBorder="1"/>
    <xf numFmtId="10" fontId="0" fillId="6" borderId="7" xfId="0" applyNumberFormat="1" applyFill="1" applyBorder="1"/>
    <xf numFmtId="0" fontId="15" fillId="6" borderId="0" xfId="0" applyFont="1" applyFill="1" applyBorder="1" applyAlignment="1">
      <alignment horizontal="center"/>
    </xf>
    <xf numFmtId="0" fontId="23" fillId="5" borderId="0" xfId="0" applyFont="1" applyFill="1" applyBorder="1" applyAlignment="1">
      <alignment horizontal="center"/>
    </xf>
    <xf numFmtId="0" fontId="23" fillId="5" borderId="6" xfId="0" applyFont="1" applyFill="1" applyBorder="1" applyAlignment="1">
      <alignment horizontal="center"/>
    </xf>
    <xf numFmtId="0" fontId="0" fillId="0" borderId="0" xfId="0" applyAlignment="1"/>
    <xf numFmtId="10" fontId="5" fillId="0" borderId="9" xfId="16" applyNumberFormat="1" applyFont="1" applyFill="1" applyBorder="1"/>
    <xf numFmtId="10" fontId="5" fillId="0" borderId="10" xfId="16" applyNumberFormat="1" applyFont="1" applyFill="1" applyBorder="1"/>
    <xf numFmtId="0" fontId="0" fillId="6" borderId="6" xfId="0" applyFill="1" applyBorder="1" applyAlignment="1"/>
    <xf numFmtId="0" fontId="14" fillId="6" borderId="3" xfId="0" applyFont="1" applyFill="1" applyBorder="1" applyAlignment="1"/>
    <xf numFmtId="0" fontId="14" fillId="6" borderId="3" xfId="0" applyFont="1" applyFill="1" applyBorder="1" applyAlignment="1">
      <alignment horizontal="center"/>
    </xf>
    <xf numFmtId="0" fontId="15" fillId="6" borderId="0" xfId="0" applyFont="1" applyFill="1" applyBorder="1" applyAlignment="1">
      <alignment horizontal="right"/>
    </xf>
    <xf numFmtId="44" fontId="15" fillId="6" borderId="0" xfId="7" applyFont="1" applyFill="1" applyBorder="1" applyAlignment="1">
      <alignment horizontal="right"/>
    </xf>
    <xf numFmtId="164" fontId="15" fillId="6" borderId="0" xfId="16" applyNumberFormat="1" applyFont="1" applyFill="1" applyBorder="1" applyAlignment="1">
      <alignment horizontal="right"/>
    </xf>
    <xf numFmtId="44" fontId="5" fillId="7" borderId="0" xfId="7" applyNumberFormat="1" applyFont="1" applyFill="1" applyBorder="1"/>
    <xf numFmtId="44" fontId="5" fillId="7" borderId="6" xfId="7" applyNumberFormat="1" applyFont="1" applyFill="1" applyBorder="1"/>
    <xf numFmtId="0" fontId="12" fillId="5" borderId="5" xfId="0" applyFont="1" applyFill="1" applyBorder="1" applyAlignment="1">
      <alignment horizontal="center"/>
    </xf>
    <xf numFmtId="0" fontId="0" fillId="6" borderId="0" xfId="0" applyFill="1" applyBorder="1" applyAlignment="1">
      <alignment horizontal="right"/>
    </xf>
    <xf numFmtId="44" fontId="5" fillId="7" borderId="0" xfId="7" applyFont="1" applyFill="1" applyBorder="1"/>
    <xf numFmtId="167" fontId="0" fillId="7" borderId="0" xfId="0" applyNumberFormat="1" applyFill="1" applyBorder="1"/>
    <xf numFmtId="166" fontId="0" fillId="7" borderId="0" xfId="0" applyNumberFormat="1" applyFill="1" applyBorder="1" applyAlignment="1">
      <alignment horizontal="center"/>
    </xf>
    <xf numFmtId="166" fontId="0" fillId="6" borderId="0" xfId="0" applyNumberFormat="1" applyFill="1" applyBorder="1" applyAlignment="1">
      <alignment horizontal="center"/>
    </xf>
    <xf numFmtId="10" fontId="0" fillId="5" borderId="0" xfId="16" applyNumberFormat="1" applyFont="1" applyFill="1" applyBorder="1" applyAlignment="1">
      <alignment horizontal="right"/>
    </xf>
    <xf numFmtId="43" fontId="5" fillId="5" borderId="0" xfId="3" applyNumberFormat="1" applyFont="1" applyFill="1" applyBorder="1"/>
    <xf numFmtId="165" fontId="0" fillId="5" borderId="0" xfId="3" applyNumberFormat="1" applyFont="1" applyFill="1" applyBorder="1" applyAlignment="1">
      <alignment horizontal="center"/>
    </xf>
    <xf numFmtId="10" fontId="13" fillId="0" borderId="0" xfId="16" applyNumberFormat="1" applyFont="1" applyFill="1" applyBorder="1"/>
    <xf numFmtId="0" fontId="0" fillId="5" borderId="0" xfId="0" applyFill="1" applyBorder="1" applyAlignment="1">
      <alignment horizontal="center" vertical="center"/>
    </xf>
    <xf numFmtId="9" fontId="0" fillId="5" borderId="0" xfId="16" applyFont="1" applyFill="1" applyBorder="1"/>
    <xf numFmtId="0" fontId="11" fillId="10" borderId="0" xfId="0" applyFont="1" applyFill="1"/>
    <xf numFmtId="167" fontId="0" fillId="7" borderId="6" xfId="0" applyNumberFormat="1" applyFill="1" applyBorder="1"/>
    <xf numFmtId="166" fontId="0" fillId="7" borderId="6" xfId="0" applyNumberFormat="1" applyFill="1" applyBorder="1" applyAlignment="1">
      <alignment horizontal="center"/>
    </xf>
    <xf numFmtId="166" fontId="0" fillId="6" borderId="6" xfId="0" applyNumberFormat="1" applyFill="1" applyBorder="1" applyAlignment="1">
      <alignment horizontal="center"/>
    </xf>
    <xf numFmtId="165" fontId="5" fillId="0" borderId="2" xfId="3" applyNumberFormat="1" applyFont="1" applyFill="1" applyBorder="1"/>
    <xf numFmtId="0" fontId="0" fillId="6" borderId="0" xfId="0" applyFill="1" applyBorder="1" applyAlignment="1">
      <alignment horizontal="center"/>
    </xf>
    <xf numFmtId="0" fontId="0" fillId="6" borderId="7" xfId="0" applyFill="1" applyBorder="1" applyAlignment="1"/>
    <xf numFmtId="43" fontId="5" fillId="5" borderId="6" xfId="3" applyNumberFormat="1" applyFont="1" applyFill="1" applyBorder="1"/>
    <xf numFmtId="166" fontId="5" fillId="6" borderId="6" xfId="7" applyNumberFormat="1" applyFont="1" applyFill="1" applyBorder="1" applyAlignment="1">
      <alignment vertical="center"/>
    </xf>
    <xf numFmtId="165" fontId="0" fillId="0" borderId="0" xfId="0" applyNumberFormat="1" applyAlignment="1"/>
    <xf numFmtId="167" fontId="13" fillId="6" borderId="0" xfId="7" applyNumberFormat="1" applyFont="1" applyFill="1" applyBorder="1" applyAlignment="1">
      <alignment horizontal="center"/>
    </xf>
    <xf numFmtId="167" fontId="13" fillId="6" borderId="3" xfId="7" applyNumberFormat="1" applyFont="1" applyFill="1" applyBorder="1" applyAlignment="1">
      <alignment horizontal="center"/>
    </xf>
    <xf numFmtId="0" fontId="0" fillId="6" borderId="0" xfId="0" applyFont="1" applyFill="1" applyBorder="1" applyAlignment="1">
      <alignment horizontal="center"/>
    </xf>
    <xf numFmtId="0" fontId="0" fillId="6" borderId="3" xfId="0" applyFont="1" applyFill="1" applyBorder="1" applyAlignment="1">
      <alignment horizontal="center"/>
    </xf>
    <xf numFmtId="0" fontId="0" fillId="5" borderId="6" xfId="0" applyFill="1" applyBorder="1" applyAlignment="1"/>
    <xf numFmtId="0" fontId="0" fillId="6" borderId="2" xfId="0" applyFill="1" applyBorder="1" applyAlignment="1"/>
    <xf numFmtId="167" fontId="0" fillId="6" borderId="0" xfId="7" applyNumberFormat="1" applyFont="1" applyFill="1" applyBorder="1" applyAlignment="1"/>
    <xf numFmtId="165" fontId="0" fillId="6" borderId="0" xfId="3" applyNumberFormat="1" applyFont="1" applyFill="1" applyBorder="1" applyAlignment="1"/>
    <xf numFmtId="169" fontId="0" fillId="6" borderId="0" xfId="7" applyNumberFormat="1" applyFont="1" applyFill="1" applyBorder="1" applyAlignment="1"/>
    <xf numFmtId="167" fontId="0" fillId="6" borderId="6" xfId="7" applyNumberFormat="1" applyFont="1" applyFill="1" applyBorder="1" applyAlignment="1"/>
    <xf numFmtId="165" fontId="0" fillId="6" borderId="6" xfId="3" applyNumberFormat="1" applyFont="1" applyFill="1" applyBorder="1" applyAlignment="1"/>
    <xf numFmtId="165" fontId="0" fillId="5" borderId="0" xfId="0" applyNumberFormat="1" applyFill="1" applyBorder="1" applyAlignment="1"/>
    <xf numFmtId="167" fontId="5" fillId="6" borderId="5" xfId="7" applyNumberFormat="1" applyFont="1" applyFill="1" applyBorder="1" applyAlignment="1">
      <alignment horizontal="center"/>
    </xf>
    <xf numFmtId="167" fontId="13" fillId="11" borderId="0" xfId="7" applyNumberFormat="1" applyFont="1" applyFill="1" applyBorder="1" applyAlignment="1"/>
    <xf numFmtId="167" fontId="13" fillId="11" borderId="3" xfId="7" applyNumberFormat="1" applyFont="1" applyFill="1" applyBorder="1" applyAlignment="1"/>
    <xf numFmtId="44" fontId="5" fillId="6" borderId="5" xfId="7" applyNumberFormat="1" applyFont="1" applyFill="1" applyBorder="1" applyAlignment="1">
      <alignment horizontal="center"/>
    </xf>
    <xf numFmtId="44" fontId="5" fillId="6" borderId="7" xfId="7" applyNumberFormat="1" applyFont="1" applyFill="1" applyBorder="1" applyAlignment="1">
      <alignment horizontal="center"/>
    </xf>
    <xf numFmtId="165" fontId="0" fillId="6" borderId="3" xfId="3" applyNumberFormat="1" applyFont="1" applyFill="1" applyBorder="1" applyAlignment="1"/>
    <xf numFmtId="165" fontId="0" fillId="6" borderId="8" xfId="3" applyNumberFormat="1" applyFont="1" applyFill="1" applyBorder="1" applyAlignment="1"/>
    <xf numFmtId="173" fontId="0" fillId="6" borderId="0" xfId="3" applyNumberFormat="1" applyFont="1" applyFill="1" applyBorder="1"/>
    <xf numFmtId="0" fontId="0" fillId="6" borderId="9" xfId="0" applyFill="1" applyBorder="1" applyAlignment="1">
      <alignment horizontal="right"/>
    </xf>
    <xf numFmtId="0" fontId="0" fillId="6" borderId="11" xfId="0" applyFill="1" applyBorder="1"/>
    <xf numFmtId="167" fontId="13" fillId="11" borderId="6" xfId="7" applyNumberFormat="1" applyFont="1" applyFill="1" applyBorder="1" applyAlignment="1"/>
    <xf numFmtId="167" fontId="13" fillId="11" borderId="8" xfId="7" applyNumberFormat="1" applyFont="1" applyFill="1" applyBorder="1" applyAlignment="1"/>
    <xf numFmtId="0" fontId="0" fillId="5" borderId="1" xfId="0" applyFill="1" applyBorder="1" applyAlignment="1">
      <alignment horizontal="left" vertical="center"/>
    </xf>
    <xf numFmtId="0" fontId="11" fillId="9" borderId="0" xfId="0" applyFont="1" applyFill="1"/>
    <xf numFmtId="165" fontId="6" fillId="2" borderId="0" xfId="1" applyNumberFormat="1" applyBorder="1"/>
    <xf numFmtId="0" fontId="11" fillId="12" borderId="0" xfId="0" applyFont="1" applyFill="1"/>
    <xf numFmtId="0" fontId="0" fillId="13" borderId="0" xfId="0" applyFill="1" applyBorder="1"/>
    <xf numFmtId="0" fontId="0" fillId="13" borderId="0" xfId="0" applyFill="1" applyBorder="1" applyAlignment="1">
      <alignment horizontal="center"/>
    </xf>
    <xf numFmtId="167" fontId="0" fillId="13" borderId="0" xfId="0" applyNumberFormat="1" applyFill="1" applyBorder="1"/>
    <xf numFmtId="167" fontId="5" fillId="7" borderId="0" xfId="7" applyNumberFormat="1" applyFont="1" applyFill="1" applyBorder="1"/>
    <xf numFmtId="0" fontId="0" fillId="7" borderId="1" xfId="0" applyFill="1" applyBorder="1" applyAlignment="1">
      <alignment horizontal="left" vertical="center"/>
    </xf>
    <xf numFmtId="0" fontId="0" fillId="7" borderId="0" xfId="0" applyFill="1" applyBorder="1" applyAlignment="1">
      <alignment horizontal="center" vertical="center"/>
    </xf>
    <xf numFmtId="0" fontId="0" fillId="7" borderId="1" xfId="0" applyFill="1" applyBorder="1" applyAlignment="1">
      <alignment horizontal="left"/>
    </xf>
    <xf numFmtId="167" fontId="0" fillId="5" borderId="0" xfId="7" applyNumberFormat="1" applyFont="1" applyFill="1" applyBorder="1"/>
    <xf numFmtId="0" fontId="0" fillId="5" borderId="1" xfId="0" applyFont="1" applyFill="1" applyBorder="1"/>
    <xf numFmtId="10" fontId="0" fillId="5" borderId="0" xfId="0" applyNumberFormat="1" applyFill="1" applyBorder="1"/>
    <xf numFmtId="44" fontId="0" fillId="0" borderId="0" xfId="0" applyNumberFormat="1" applyBorder="1" applyAlignment="1"/>
    <xf numFmtId="10" fontId="5" fillId="6" borderId="10" xfId="16" applyNumberFormat="1" applyFont="1" applyFill="1" applyBorder="1"/>
    <xf numFmtId="10" fontId="5" fillId="6" borderId="11" xfId="16" applyNumberFormat="1" applyFont="1" applyFill="1" applyBorder="1"/>
    <xf numFmtId="9" fontId="0" fillId="6" borderId="5" xfId="16" applyFont="1" applyFill="1" applyBorder="1" applyAlignment="1">
      <alignment horizontal="center"/>
    </xf>
    <xf numFmtId="10" fontId="0" fillId="6" borderId="5" xfId="16" applyNumberFormat="1" applyFont="1" applyFill="1" applyBorder="1" applyAlignment="1">
      <alignment horizontal="right"/>
    </xf>
    <xf numFmtId="10" fontId="0" fillId="6" borderId="7" xfId="16" applyNumberFormat="1" applyFont="1" applyFill="1" applyBorder="1" applyAlignment="1">
      <alignment horizontal="right"/>
    </xf>
    <xf numFmtId="9" fontId="0" fillId="6" borderId="0" xfId="16" applyFont="1" applyFill="1" applyBorder="1" applyAlignment="1">
      <alignment horizontal="center"/>
    </xf>
    <xf numFmtId="9" fontId="0" fillId="5" borderId="0" xfId="16" applyFont="1" applyFill="1" applyBorder="1" applyAlignment="1">
      <alignment horizontal="center"/>
    </xf>
    <xf numFmtId="0" fontId="0" fillId="6" borderId="0" xfId="0" applyFill="1" applyBorder="1" applyAlignment="1">
      <alignment horizontal="center"/>
    </xf>
    <xf numFmtId="165" fontId="15" fillId="6" borderId="0" xfId="11" applyNumberFormat="1" applyFont="1" applyFill="1" applyBorder="1" applyAlignment="1">
      <alignment horizontal="right"/>
    </xf>
    <xf numFmtId="167" fontId="13" fillId="6" borderId="8" xfId="7" applyNumberFormat="1" applyFont="1" applyFill="1" applyBorder="1"/>
    <xf numFmtId="167" fontId="6" fillId="2" borderId="0" xfId="7" applyNumberFormat="1" applyFont="1" applyFill="1" applyBorder="1"/>
    <xf numFmtId="167" fontId="6" fillId="2" borderId="3" xfId="7" applyNumberFormat="1" applyFont="1" applyFill="1" applyBorder="1"/>
    <xf numFmtId="0" fontId="13" fillId="6" borderId="8" xfId="0" applyFont="1" applyFill="1" applyBorder="1"/>
    <xf numFmtId="0" fontId="6" fillId="6" borderId="0" xfId="1" applyFill="1" applyBorder="1"/>
    <xf numFmtId="0" fontId="0" fillId="6" borderId="10" xfId="0" applyFill="1" applyBorder="1"/>
    <xf numFmtId="0" fontId="0" fillId="0" borderId="5" xfId="0" applyFill="1" applyBorder="1"/>
    <xf numFmtId="0" fontId="13" fillId="6" borderId="0" xfId="16" applyNumberFormat="1" applyFont="1" applyFill="1" applyBorder="1" applyAlignment="1">
      <alignment horizontal="right"/>
    </xf>
    <xf numFmtId="0" fontId="0" fillId="6" borderId="6" xfId="0" quotePrefix="1" applyFill="1" applyBorder="1" applyAlignment="1">
      <alignment horizontal="center"/>
    </xf>
    <xf numFmtId="0" fontId="13" fillId="6" borderId="0" xfId="7" applyNumberFormat="1" applyFont="1" applyFill="1" applyBorder="1" applyAlignment="1">
      <alignment horizontal="right"/>
    </xf>
    <xf numFmtId="0" fontId="16" fillId="6" borderId="0" xfId="0" applyFont="1" applyFill="1" applyBorder="1" applyAlignment="1"/>
    <xf numFmtId="0" fontId="0" fillId="0" borderId="9" xfId="0" applyFill="1" applyBorder="1"/>
    <xf numFmtId="0" fontId="0" fillId="0" borderId="10" xfId="0" applyFill="1" applyBorder="1"/>
    <xf numFmtId="166" fontId="0" fillId="6" borderId="0" xfId="7" applyNumberFormat="1" applyFont="1" applyFill="1" applyBorder="1"/>
    <xf numFmtId="166" fontId="0" fillId="6" borderId="5" xfId="7" applyNumberFormat="1" applyFont="1" applyFill="1" applyBorder="1"/>
    <xf numFmtId="166" fontId="0" fillId="6" borderId="7" xfId="7" applyNumberFormat="1" applyFont="1" applyFill="1" applyBorder="1"/>
    <xf numFmtId="166" fontId="0" fillId="6" borderId="3" xfId="7" applyNumberFormat="1" applyFont="1" applyFill="1" applyBorder="1"/>
    <xf numFmtId="166" fontId="0" fillId="6" borderId="8" xfId="7" applyNumberFormat="1" applyFont="1" applyFill="1" applyBorder="1"/>
    <xf numFmtId="0" fontId="0" fillId="6" borderId="5" xfId="0" applyFont="1" applyFill="1" applyBorder="1" applyAlignment="1"/>
    <xf numFmtId="0" fontId="0" fillId="6" borderId="5" xfId="0" applyFont="1" applyFill="1" applyBorder="1" applyAlignment="1">
      <alignment horizontal="left"/>
    </xf>
    <xf numFmtId="0" fontId="0" fillId="6" borderId="5" xfId="0" applyFont="1" applyFill="1" applyBorder="1" applyAlignment="1">
      <alignment horizontal="center"/>
    </xf>
    <xf numFmtId="166" fontId="0" fillId="0" borderId="9" xfId="7" applyNumberFormat="1" applyFont="1" applyFill="1" applyBorder="1"/>
    <xf numFmtId="166" fontId="0" fillId="0" borderId="10" xfId="7" applyNumberFormat="1" applyFont="1" applyFill="1" applyBorder="1"/>
    <xf numFmtId="0" fontId="16" fillId="5" borderId="0" xfId="0" applyFont="1" applyFill="1" applyBorder="1" applyAlignment="1"/>
    <xf numFmtId="166" fontId="0" fillId="5" borderId="0" xfId="7" applyNumberFormat="1" applyFont="1" applyFill="1" applyBorder="1"/>
    <xf numFmtId="166" fontId="0" fillId="5" borderId="6" xfId="7" applyNumberFormat="1" applyFont="1" applyFill="1" applyBorder="1"/>
    <xf numFmtId="0" fontId="0" fillId="5" borderId="0" xfId="0" applyFont="1" applyFill="1" applyBorder="1" applyAlignment="1"/>
    <xf numFmtId="0" fontId="0" fillId="5" borderId="0" xfId="0" applyFont="1" applyFill="1" applyBorder="1" applyAlignment="1">
      <alignment horizontal="left"/>
    </xf>
    <xf numFmtId="0" fontId="0" fillId="5" borderId="0" xfId="0" applyFont="1" applyFill="1" applyBorder="1" applyAlignment="1">
      <alignment horizontal="center"/>
    </xf>
    <xf numFmtId="0" fontId="0" fillId="5" borderId="1" xfId="0" applyFont="1" applyFill="1" applyBorder="1" applyAlignment="1"/>
    <xf numFmtId="0" fontId="0" fillId="5" borderId="2" xfId="0" applyFont="1" applyFill="1" applyBorder="1" applyAlignment="1"/>
    <xf numFmtId="0" fontId="0" fillId="5" borderId="3" xfId="0" applyFont="1" applyFill="1" applyBorder="1" applyAlignment="1"/>
    <xf numFmtId="0" fontId="0" fillId="5" borderId="3" xfId="0" applyFont="1" applyFill="1" applyBorder="1" applyAlignment="1">
      <alignment horizontal="left"/>
    </xf>
    <xf numFmtId="0" fontId="0" fillId="5" borderId="3" xfId="0" applyFont="1" applyFill="1" applyBorder="1" applyAlignment="1">
      <alignment horizontal="center"/>
    </xf>
    <xf numFmtId="166" fontId="0" fillId="5" borderId="3" xfId="7" applyNumberFormat="1" applyFont="1" applyFill="1" applyBorder="1"/>
    <xf numFmtId="166" fontId="0" fillId="5" borderId="8" xfId="7" applyNumberFormat="1" applyFont="1" applyFill="1" applyBorder="1"/>
    <xf numFmtId="167" fontId="0" fillId="6" borderId="0" xfId="7" applyNumberFormat="1" applyFont="1" applyFill="1" applyBorder="1"/>
    <xf numFmtId="0" fontId="0" fillId="7" borderId="0" xfId="0" applyFill="1" applyBorder="1" applyAlignment="1"/>
    <xf numFmtId="167" fontId="0" fillId="7" borderId="0" xfId="0" applyNumberFormat="1" applyFill="1" applyBorder="1" applyAlignment="1"/>
    <xf numFmtId="167" fontId="0" fillId="7" borderId="0" xfId="7" applyNumberFormat="1" applyFont="1" applyFill="1" applyBorder="1" applyAlignment="1"/>
    <xf numFmtId="167" fontId="0" fillId="7" borderId="6" xfId="7" applyNumberFormat="1" applyFont="1" applyFill="1" applyBorder="1" applyAlignment="1"/>
    <xf numFmtId="167" fontId="0" fillId="5" borderId="0" xfId="7" applyNumberFormat="1" applyFont="1" applyFill="1" applyBorder="1" applyAlignment="1"/>
    <xf numFmtId="167" fontId="0" fillId="5" borderId="6" xfId="7" applyNumberFormat="1" applyFont="1" applyFill="1" applyBorder="1" applyAlignment="1"/>
    <xf numFmtId="165" fontId="0" fillId="7" borderId="0" xfId="3" applyNumberFormat="1" applyFont="1" applyFill="1" applyBorder="1" applyAlignment="1"/>
    <xf numFmtId="165" fontId="0" fillId="7" borderId="6" xfId="3" applyNumberFormat="1" applyFont="1" applyFill="1" applyBorder="1" applyAlignment="1"/>
    <xf numFmtId="43" fontId="0" fillId="7" borderId="0" xfId="3" applyFont="1" applyFill="1" applyBorder="1" applyAlignment="1"/>
    <xf numFmtId="43" fontId="0" fillId="7" borderId="6" xfId="3" applyFont="1" applyFill="1" applyBorder="1" applyAlignment="1"/>
    <xf numFmtId="169" fontId="0" fillId="5" borderId="0" xfId="7" applyNumberFormat="1" applyFont="1" applyFill="1" applyBorder="1" applyAlignment="1"/>
    <xf numFmtId="0" fontId="0" fillId="5" borderId="3" xfId="0" applyFill="1" applyBorder="1" applyAlignment="1"/>
    <xf numFmtId="169" fontId="0" fillId="5" borderId="3" xfId="7" applyNumberFormat="1" applyFont="1" applyFill="1" applyBorder="1" applyAlignment="1"/>
    <xf numFmtId="165" fontId="0" fillId="5" borderId="0" xfId="0" applyNumberFormat="1" applyFill="1" applyBorder="1" applyAlignment="1">
      <alignment horizontal="center"/>
    </xf>
    <xf numFmtId="165" fontId="0" fillId="5" borderId="6" xfId="0" applyNumberFormat="1" applyFill="1" applyBorder="1" applyAlignment="1">
      <alignment horizontal="center"/>
    </xf>
    <xf numFmtId="0" fontId="0" fillId="5" borderId="1" xfId="0" applyFill="1" applyBorder="1" applyAlignment="1">
      <alignment horizontal="center"/>
    </xf>
    <xf numFmtId="9" fontId="5" fillId="7" borderId="0" xfId="16" applyNumberFormat="1" applyFont="1" applyFill="1" applyBorder="1"/>
    <xf numFmtId="0" fontId="0" fillId="7" borderId="3" xfId="0" applyFill="1" applyBorder="1"/>
    <xf numFmtId="0" fontId="0" fillId="7" borderId="3" xfId="0" applyFill="1" applyBorder="1" applyAlignment="1">
      <alignment horizontal="center"/>
    </xf>
    <xf numFmtId="9" fontId="5" fillId="7" borderId="3" xfId="16" applyNumberFormat="1" applyFont="1" applyFill="1" applyBorder="1"/>
    <xf numFmtId="10" fontId="5" fillId="7" borderId="3" xfId="16" applyNumberFormat="1" applyFont="1" applyFill="1" applyBorder="1"/>
    <xf numFmtId="10" fontId="5" fillId="7" borderId="8" xfId="16" applyNumberFormat="1" applyFont="1" applyFill="1" applyBorder="1"/>
    <xf numFmtId="0" fontId="0" fillId="7" borderId="0" xfId="0" applyFont="1" applyFill="1" applyBorder="1" applyAlignment="1"/>
    <xf numFmtId="0" fontId="0" fillId="7" borderId="0" xfId="0" applyFont="1" applyFill="1" applyBorder="1" applyAlignment="1">
      <alignment horizontal="left"/>
    </xf>
    <xf numFmtId="0" fontId="0" fillId="7" borderId="0" xfId="0" applyFont="1" applyFill="1" applyBorder="1" applyAlignment="1">
      <alignment horizontal="center"/>
    </xf>
    <xf numFmtId="44" fontId="0" fillId="7" borderId="0" xfId="7" applyNumberFormat="1" applyFont="1" applyFill="1" applyBorder="1"/>
    <xf numFmtId="0" fontId="0" fillId="7" borderId="0" xfId="0" applyFill="1" applyBorder="1" applyAlignment="1">
      <alignment horizontal="left"/>
    </xf>
    <xf numFmtId="165" fontId="5" fillId="7" borderId="0" xfId="3" applyNumberFormat="1" applyFont="1" applyFill="1" applyBorder="1" applyAlignment="1">
      <alignment horizontal="center"/>
    </xf>
    <xf numFmtId="0" fontId="0" fillId="11" borderId="1" xfId="0" applyFill="1" applyBorder="1" applyAlignment="1">
      <alignment horizontal="left"/>
    </xf>
    <xf numFmtId="0" fontId="0" fillId="11" borderId="0" xfId="0" applyFill="1" applyBorder="1" applyAlignment="1">
      <alignment horizontal="left"/>
    </xf>
    <xf numFmtId="0" fontId="0" fillId="11" borderId="0" xfId="0" applyFill="1" applyBorder="1" applyAlignment="1">
      <alignment horizontal="center"/>
    </xf>
    <xf numFmtId="10" fontId="5" fillId="11" borderId="0" xfId="16" applyNumberFormat="1" applyFont="1" applyFill="1" applyBorder="1"/>
    <xf numFmtId="10" fontId="5" fillId="11" borderId="6" xfId="16" applyNumberFormat="1" applyFont="1" applyFill="1" applyBorder="1"/>
    <xf numFmtId="0" fontId="0" fillId="11" borderId="0" xfId="0" applyFill="1" applyBorder="1"/>
    <xf numFmtId="44" fontId="5" fillId="11" borderId="0" xfId="7" applyFont="1" applyFill="1" applyBorder="1" applyAlignment="1">
      <alignment horizontal="center"/>
    </xf>
    <xf numFmtId="166" fontId="5" fillId="11" borderId="0" xfId="7" applyNumberFormat="1" applyFont="1" applyFill="1" applyBorder="1"/>
    <xf numFmtId="166" fontId="5" fillId="11" borderId="6" xfId="7" applyNumberFormat="1" applyFont="1" applyFill="1" applyBorder="1"/>
    <xf numFmtId="0" fontId="0" fillId="14" borderId="0" xfId="0" applyFill="1" applyBorder="1"/>
    <xf numFmtId="0" fontId="0" fillId="14" borderId="0" xfId="0" applyFill="1" applyBorder="1" applyAlignment="1">
      <alignment horizontal="center"/>
    </xf>
    <xf numFmtId="44" fontId="0" fillId="14" borderId="0" xfId="0" applyNumberFormat="1" applyFill="1" applyBorder="1"/>
    <xf numFmtId="44" fontId="0" fillId="14" borderId="6" xfId="0" applyNumberFormat="1" applyFill="1" applyBorder="1"/>
    <xf numFmtId="0" fontId="0" fillId="14" borderId="6" xfId="0" applyFill="1" applyBorder="1"/>
    <xf numFmtId="0" fontId="11" fillId="12" borderId="0" xfId="0" applyFont="1" applyFill="1" applyBorder="1" applyAlignment="1">
      <alignment horizontal="left"/>
    </xf>
    <xf numFmtId="166" fontId="5" fillId="7" borderId="0" xfId="7" applyNumberFormat="1" applyFont="1" applyFill="1" applyBorder="1"/>
    <xf numFmtId="166" fontId="5" fillId="7" borderId="6" xfId="7" applyNumberFormat="1" applyFont="1" applyFill="1" applyBorder="1"/>
    <xf numFmtId="0" fontId="0" fillId="7" borderId="0" xfId="0" applyFill="1"/>
    <xf numFmtId="44" fontId="5" fillId="7" borderId="0" xfId="16" applyNumberFormat="1" applyFont="1" applyFill="1" applyBorder="1"/>
    <xf numFmtId="44" fontId="5" fillId="7" borderId="6" xfId="16" applyNumberFormat="1" applyFont="1" applyFill="1" applyBorder="1"/>
    <xf numFmtId="44" fontId="5" fillId="5" borderId="0" xfId="7" applyNumberFormat="1" applyFont="1" applyFill="1" applyBorder="1" applyAlignment="1">
      <alignment vertical="center"/>
    </xf>
    <xf numFmtId="44" fontId="5" fillId="5" borderId="6" xfId="7" applyNumberFormat="1" applyFont="1" applyFill="1" applyBorder="1" applyAlignment="1">
      <alignment vertical="center"/>
    </xf>
    <xf numFmtId="166" fontId="5" fillId="5" borderId="6" xfId="7" applyNumberFormat="1" applyFont="1" applyFill="1" applyBorder="1" applyAlignment="1">
      <alignment horizontal="center"/>
    </xf>
    <xf numFmtId="165" fontId="5" fillId="7" borderId="8" xfId="3" applyNumberFormat="1" applyFont="1" applyFill="1" applyBorder="1"/>
    <xf numFmtId="0" fontId="11" fillId="15" borderId="0" xfId="0" applyFont="1" applyFill="1"/>
    <xf numFmtId="0" fontId="0" fillId="6" borderId="0" xfId="0" applyFill="1" applyBorder="1" applyAlignment="1">
      <alignment horizontal="center"/>
    </xf>
    <xf numFmtId="0" fontId="0" fillId="6" borderId="3" xfId="0" applyFill="1" applyBorder="1" applyAlignment="1">
      <alignment horizontal="center"/>
    </xf>
    <xf numFmtId="10" fontId="0" fillId="6" borderId="0" xfId="0" applyNumberFormat="1" applyFill="1" applyBorder="1"/>
    <xf numFmtId="167" fontId="0" fillId="6" borderId="6" xfId="7" applyNumberFormat="1" applyFont="1" applyFill="1" applyBorder="1"/>
    <xf numFmtId="167" fontId="0" fillId="6" borderId="3" xfId="0" applyNumberFormat="1" applyFill="1" applyBorder="1"/>
    <xf numFmtId="0" fontId="0" fillId="6" borderId="9" xfId="0" applyFont="1" applyFill="1" applyBorder="1"/>
    <xf numFmtId="166" fontId="13" fillId="6" borderId="0" xfId="7" applyNumberFormat="1" applyFont="1" applyFill="1" applyBorder="1"/>
    <xf numFmtId="44" fontId="0" fillId="0" borderId="0" xfId="7" applyFont="1" applyBorder="1" applyAlignment="1"/>
    <xf numFmtId="172" fontId="0" fillId="5" borderId="0" xfId="0" applyNumberFormat="1" applyFill="1" applyBorder="1"/>
    <xf numFmtId="167" fontId="0" fillId="0" borderId="0" xfId="0" applyNumberFormat="1"/>
    <xf numFmtId="43" fontId="5" fillId="6" borderId="0" xfId="3" applyNumberFormat="1" applyFont="1" applyFill="1" applyBorder="1"/>
    <xf numFmtId="44" fontId="13" fillId="6" borderId="0" xfId="7" applyNumberFormat="1" applyFont="1" applyFill="1" applyBorder="1"/>
    <xf numFmtId="172" fontId="13" fillId="0" borderId="0" xfId="3" applyNumberFormat="1" applyFont="1" applyFill="1" applyBorder="1"/>
    <xf numFmtId="172" fontId="13" fillId="0" borderId="0" xfId="16" applyNumberFormat="1" applyFont="1" applyFill="1" applyBorder="1"/>
    <xf numFmtId="168" fontId="0" fillId="6" borderId="10" xfId="3" applyNumberFormat="1" applyFont="1" applyFill="1" applyBorder="1"/>
    <xf numFmtId="0" fontId="0" fillId="6" borderId="0" xfId="0" applyFill="1" applyBorder="1" applyAlignment="1">
      <alignment horizontal="center"/>
    </xf>
    <xf numFmtId="0" fontId="12" fillId="5" borderId="5" xfId="0" applyFont="1" applyFill="1" applyBorder="1" applyAlignment="1">
      <alignment horizontal="center" vertical="center"/>
    </xf>
    <xf numFmtId="0" fontId="12" fillId="5" borderId="0" xfId="0" applyFont="1" applyFill="1" applyBorder="1" applyAlignment="1">
      <alignment horizontal="center" vertical="center"/>
    </xf>
    <xf numFmtId="0" fontId="0" fillId="5" borderId="3" xfId="0" applyFont="1" applyFill="1" applyBorder="1"/>
    <xf numFmtId="0" fontId="0" fillId="5" borderId="8" xfId="0" applyFont="1" applyFill="1" applyBorder="1"/>
    <xf numFmtId="166" fontId="0" fillId="6" borderId="0" xfId="0" applyNumberFormat="1" applyFill="1" applyBorder="1"/>
    <xf numFmtId="166" fontId="0" fillId="6" borderId="6" xfId="0" applyNumberFormat="1" applyFill="1" applyBorder="1"/>
    <xf numFmtId="165" fontId="0" fillId="6" borderId="0" xfId="0" applyNumberFormat="1" applyFill="1" applyBorder="1"/>
    <xf numFmtId="165" fontId="0" fillId="6" borderId="6" xfId="0" applyNumberFormat="1" applyFill="1" applyBorder="1"/>
    <xf numFmtId="165" fontId="0" fillId="5" borderId="3" xfId="0" applyNumberFormat="1" applyFill="1" applyBorder="1"/>
    <xf numFmtId="0" fontId="0" fillId="6" borderId="9" xfId="0" applyFill="1" applyBorder="1"/>
    <xf numFmtId="166" fontId="0" fillId="6" borderId="10" xfId="7" applyNumberFormat="1" applyFont="1" applyFill="1" applyBorder="1"/>
    <xf numFmtId="44" fontId="5" fillId="7" borderId="6" xfId="7" applyFont="1" applyFill="1" applyBorder="1"/>
    <xf numFmtId="165" fontId="0" fillId="7" borderId="0" xfId="0" applyNumberFormat="1" applyFill="1" applyBorder="1"/>
    <xf numFmtId="165" fontId="0" fillId="7" borderId="6" xfId="0" applyNumberFormat="1" applyFill="1" applyBorder="1"/>
    <xf numFmtId="165" fontId="0" fillId="7" borderId="3" xfId="0" applyNumberFormat="1" applyFill="1" applyBorder="1"/>
    <xf numFmtId="165" fontId="0" fillId="7" borderId="8" xfId="0" applyNumberFormat="1" applyFill="1" applyBorder="1"/>
    <xf numFmtId="10" fontId="0" fillId="6" borderId="6" xfId="0" applyNumberFormat="1" applyFill="1" applyBorder="1"/>
    <xf numFmtId="165" fontId="13" fillId="0" borderId="0" xfId="3" applyNumberFormat="1" applyFont="1" applyFill="1" applyBorder="1" applyAlignment="1"/>
    <xf numFmtId="0" fontId="0" fillId="16" borderId="0" xfId="0" applyFill="1" applyBorder="1"/>
    <xf numFmtId="0" fontId="0" fillId="16" borderId="6" xfId="0" applyFill="1" applyBorder="1"/>
    <xf numFmtId="165" fontId="0" fillId="16" borderId="0" xfId="0" applyNumberFormat="1" applyFill="1" applyBorder="1"/>
    <xf numFmtId="165" fontId="0" fillId="16" borderId="3" xfId="0" applyNumberFormat="1" applyFill="1" applyBorder="1"/>
    <xf numFmtId="0" fontId="0" fillId="16" borderId="3" xfId="0" applyFill="1" applyBorder="1"/>
    <xf numFmtId="0" fontId="0" fillId="16" borderId="8" xfId="0" applyFill="1" applyBorder="1"/>
    <xf numFmtId="165" fontId="0" fillId="11" borderId="0" xfId="3" applyNumberFormat="1" applyFont="1" applyFill="1" applyBorder="1" applyAlignment="1"/>
    <xf numFmtId="165" fontId="0" fillId="11" borderId="6" xfId="3" applyNumberFormat="1" applyFont="1" applyFill="1" applyBorder="1" applyAlignment="1"/>
    <xf numFmtId="169" fontId="0" fillId="11" borderId="0" xfId="7" applyNumberFormat="1" applyFont="1" applyFill="1" applyBorder="1" applyAlignment="1"/>
    <xf numFmtId="165" fontId="0" fillId="11" borderId="3" xfId="3" applyNumberFormat="1" applyFont="1" applyFill="1" applyBorder="1" applyAlignment="1"/>
    <xf numFmtId="165" fontId="0" fillId="11" borderId="8" xfId="3" applyNumberFormat="1" applyFont="1" applyFill="1" applyBorder="1" applyAlignment="1"/>
    <xf numFmtId="169" fontId="0" fillId="11" borderId="6" xfId="7" applyNumberFormat="1" applyFont="1" applyFill="1" applyBorder="1" applyAlignment="1"/>
    <xf numFmtId="0" fontId="0" fillId="16" borderId="0" xfId="0" applyFill="1" applyBorder="1" applyAlignment="1"/>
    <xf numFmtId="0" fontId="0" fillId="16" borderId="6" xfId="0" applyFill="1" applyBorder="1" applyAlignment="1"/>
    <xf numFmtId="44" fontId="5" fillId="11" borderId="5" xfId="7" applyNumberFormat="1" applyFont="1" applyFill="1" applyBorder="1" applyAlignment="1">
      <alignment horizontal="center"/>
    </xf>
    <xf numFmtId="44" fontId="5" fillId="11" borderId="7" xfId="7" applyNumberFormat="1" applyFont="1" applyFill="1" applyBorder="1" applyAlignment="1">
      <alignment horizontal="center"/>
    </xf>
    <xf numFmtId="0" fontId="0" fillId="11" borderId="3" xfId="0" applyFill="1" applyBorder="1"/>
    <xf numFmtId="0" fontId="0" fillId="11" borderId="8" xfId="0" applyFill="1" applyBorder="1"/>
    <xf numFmtId="0" fontId="0" fillId="6" borderId="0" xfId="0" applyFill="1" applyBorder="1" applyAlignment="1">
      <alignment horizontal="center"/>
    </xf>
    <xf numFmtId="0" fontId="33" fillId="6" borderId="0" xfId="0" applyFont="1" applyFill="1" applyBorder="1" applyAlignment="1">
      <alignment horizontal="center"/>
    </xf>
    <xf numFmtId="0" fontId="34" fillId="6" borderId="0" xfId="0" applyFont="1" applyFill="1" applyBorder="1" applyAlignment="1">
      <alignment wrapText="1"/>
    </xf>
    <xf numFmtId="0" fontId="6" fillId="6" borderId="0" xfId="0" applyFont="1" applyFill="1" applyBorder="1" applyAlignment="1">
      <alignment wrapText="1"/>
    </xf>
    <xf numFmtId="167" fontId="13" fillId="0" borderId="0" xfId="7" applyNumberFormat="1" applyFont="1" applyFill="1" applyBorder="1"/>
    <xf numFmtId="164" fontId="0" fillId="0" borderId="0" xfId="0" applyNumberFormat="1" applyAlignment="1"/>
    <xf numFmtId="166" fontId="5" fillId="7" borderId="0" xfId="7" applyNumberFormat="1" applyFont="1" applyFill="1" applyBorder="1" applyAlignment="1">
      <alignment horizontal="left"/>
    </xf>
    <xf numFmtId="166" fontId="5" fillId="7" borderId="6" xfId="7" applyNumberFormat="1" applyFont="1" applyFill="1" applyBorder="1" applyAlignment="1">
      <alignment horizontal="left"/>
    </xf>
    <xf numFmtId="174" fontId="5" fillId="7" borderId="0" xfId="7" applyNumberFormat="1" applyFont="1" applyFill="1" applyBorder="1" applyAlignment="1">
      <alignment horizontal="left"/>
    </xf>
    <xf numFmtId="174" fontId="5" fillId="7" borderId="6" xfId="7" applyNumberFormat="1" applyFont="1" applyFill="1" applyBorder="1" applyAlignment="1">
      <alignment horizontal="left"/>
    </xf>
    <xf numFmtId="44" fontId="5" fillId="7" borderId="0" xfId="7" applyNumberFormat="1" applyFont="1" applyFill="1" applyBorder="1" applyAlignment="1">
      <alignment horizontal="left"/>
    </xf>
    <xf numFmtId="167" fontId="13" fillId="0" borderId="0" xfId="7" applyNumberFormat="1" applyFont="1" applyFill="1" applyBorder="1" applyAlignment="1">
      <alignment horizontal="center"/>
    </xf>
    <xf numFmtId="0" fontId="12" fillId="6" borderId="1" xfId="0" applyFont="1" applyFill="1" applyBorder="1" applyAlignment="1">
      <alignment horizontal="left"/>
    </xf>
    <xf numFmtId="0" fontId="12" fillId="6" borderId="1" xfId="0" applyFont="1" applyFill="1" applyBorder="1"/>
    <xf numFmtId="167" fontId="0" fillId="7" borderId="6" xfId="0" applyNumberFormat="1" applyFill="1" applyBorder="1" applyAlignment="1"/>
    <xf numFmtId="10" fontId="36" fillId="6" borderId="0" xfId="16" applyNumberFormat="1" applyFont="1" applyFill="1" applyBorder="1"/>
    <xf numFmtId="10" fontId="0" fillId="5" borderId="0" xfId="16" applyNumberFormat="1" applyFont="1" applyFill="1" applyBorder="1"/>
    <xf numFmtId="10" fontId="0" fillId="5" borderId="6" xfId="16" applyNumberFormat="1" applyFont="1" applyFill="1" applyBorder="1"/>
    <xf numFmtId="0" fontId="0" fillId="7" borderId="2" xfId="0" applyFill="1" applyBorder="1"/>
    <xf numFmtId="9" fontId="0" fillId="7" borderId="3" xfId="16" applyFont="1" applyFill="1" applyBorder="1" applyAlignment="1">
      <alignment horizontal="center"/>
    </xf>
    <xf numFmtId="169" fontId="5" fillId="7" borderId="3" xfId="7" applyNumberFormat="1" applyFont="1" applyFill="1" applyBorder="1"/>
    <xf numFmtId="166" fontId="0" fillId="7" borderId="0" xfId="0" applyNumberFormat="1" applyFill="1" applyBorder="1"/>
    <xf numFmtId="166" fontId="0" fillId="7" borderId="6" xfId="0" applyNumberFormat="1" applyFill="1" applyBorder="1"/>
    <xf numFmtId="169" fontId="0" fillId="7" borderId="3" xfId="7" applyNumberFormat="1" applyFont="1" applyFill="1" applyBorder="1"/>
    <xf numFmtId="0" fontId="0" fillId="7" borderId="8" xfId="0" applyFill="1" applyBorder="1"/>
    <xf numFmtId="0" fontId="0" fillId="6" borderId="1" xfId="0" quotePrefix="1" applyFill="1" applyBorder="1"/>
    <xf numFmtId="172" fontId="0" fillId="5" borderId="6" xfId="0" applyNumberFormat="1" applyFill="1" applyBorder="1"/>
    <xf numFmtId="9" fontId="13" fillId="6" borderId="0" xfId="16" applyNumberFormat="1" applyFont="1" applyFill="1" applyBorder="1" applyAlignment="1">
      <alignment horizontal="right"/>
    </xf>
    <xf numFmtId="0" fontId="32" fillId="0" borderId="0" xfId="0" applyFont="1" applyFill="1" applyBorder="1"/>
    <xf numFmtId="0" fontId="28" fillId="0" borderId="0" xfId="0" applyFont="1" applyFill="1" applyBorder="1"/>
    <xf numFmtId="0" fontId="10" fillId="0" borderId="0" xfId="0" applyFont="1" applyFill="1"/>
    <xf numFmtId="0" fontId="10" fillId="0" borderId="0" xfId="0" applyFont="1" applyFill="1" applyBorder="1"/>
    <xf numFmtId="176" fontId="0" fillId="0" borderId="0" xfId="0" applyNumberFormat="1" applyFill="1"/>
    <xf numFmtId="175" fontId="10" fillId="0" borderId="0" xfId="0" applyNumberFormat="1" applyFont="1" applyFill="1"/>
    <xf numFmtId="175" fontId="0" fillId="0" borderId="0" xfId="0" applyNumberFormat="1" applyFill="1"/>
    <xf numFmtId="172" fontId="0" fillId="0" borderId="0" xfId="0" applyNumberFormat="1" applyFill="1" applyBorder="1"/>
    <xf numFmtId="0" fontId="27" fillId="0" borderId="0" xfId="0" applyFont="1" applyFill="1" applyBorder="1"/>
    <xf numFmtId="175" fontId="31" fillId="0" borderId="0" xfId="0" applyNumberFormat="1" applyFont="1" applyFill="1" applyBorder="1"/>
    <xf numFmtId="176" fontId="5" fillId="0" borderId="0" xfId="7" applyNumberFormat="1" applyFont="1" applyFill="1"/>
    <xf numFmtId="175" fontId="5" fillId="0" borderId="0" xfId="7" applyNumberFormat="1" applyFont="1" applyFill="1"/>
    <xf numFmtId="175" fontId="0" fillId="0" borderId="0" xfId="0" applyNumberFormat="1" applyFill="1" applyBorder="1"/>
    <xf numFmtId="176" fontId="10" fillId="0" borderId="0" xfId="0" applyNumberFormat="1" applyFont="1" applyFill="1"/>
    <xf numFmtId="170" fontId="0" fillId="0" borderId="0" xfId="0" applyNumberFormat="1" applyFill="1" applyBorder="1"/>
    <xf numFmtId="0" fontId="0" fillId="0" borderId="0" xfId="0" applyFill="1" applyAlignment="1"/>
    <xf numFmtId="0" fontId="0" fillId="0" borderId="0" xfId="0" applyFont="1" applyFill="1" applyBorder="1"/>
    <xf numFmtId="172" fontId="0" fillId="6" borderId="0" xfId="0" applyNumberFormat="1" applyFill="1" applyBorder="1" applyAlignment="1"/>
    <xf numFmtId="172" fontId="0" fillId="6" borderId="6" xfId="0" applyNumberFormat="1" applyFill="1" applyBorder="1" applyAlignment="1"/>
    <xf numFmtId="0" fontId="32" fillId="0" borderId="0" xfId="0" applyFont="1" applyFill="1" applyBorder="1" applyAlignment="1">
      <alignment horizontal="center"/>
    </xf>
    <xf numFmtId="167" fontId="0" fillId="0" borderId="0" xfId="7" applyNumberFormat="1" applyFont="1" applyFill="1" applyAlignment="1"/>
    <xf numFmtId="0" fontId="17" fillId="0" borderId="0" xfId="0" applyFont="1"/>
    <xf numFmtId="172" fontId="0" fillId="6" borderId="5" xfId="0" applyNumberFormat="1" applyFill="1" applyBorder="1"/>
    <xf numFmtId="172" fontId="0" fillId="6" borderId="7" xfId="0" applyNumberFormat="1" applyFill="1" applyBorder="1"/>
    <xf numFmtId="175" fontId="0" fillId="0" borderId="0" xfId="7" applyNumberFormat="1" applyFont="1" applyFill="1" applyBorder="1"/>
    <xf numFmtId="0" fontId="0" fillId="6" borderId="2" xfId="0" applyFont="1" applyFill="1" applyBorder="1" applyAlignment="1">
      <alignment horizontal="left"/>
    </xf>
    <xf numFmtId="0" fontId="0" fillId="6" borderId="0" xfId="0" applyNumberFormat="1" applyFont="1" applyFill="1" applyBorder="1" applyAlignment="1">
      <alignment horizontal="left"/>
    </xf>
    <xf numFmtId="9" fontId="30" fillId="6" borderId="5" xfId="16" applyFont="1" applyFill="1" applyBorder="1" applyAlignment="1">
      <alignment horizontal="center"/>
    </xf>
    <xf numFmtId="0" fontId="0" fillId="6" borderId="1" xfId="0" applyNumberFormat="1" applyFont="1" applyFill="1" applyBorder="1" applyAlignment="1">
      <alignment horizontal="left"/>
    </xf>
    <xf numFmtId="0" fontId="0" fillId="0" borderId="0" xfId="0" applyFont="1" applyFill="1" applyAlignment="1">
      <alignment horizontal="left"/>
    </xf>
    <xf numFmtId="0" fontId="0" fillId="5" borderId="1" xfId="0" applyNumberFormat="1" applyFont="1" applyFill="1" applyBorder="1" applyAlignment="1">
      <alignment horizontal="left"/>
    </xf>
    <xf numFmtId="0" fontId="0" fillId="6" borderId="3" xfId="0" applyFont="1" applyFill="1" applyBorder="1" applyAlignment="1">
      <alignment horizontal="left"/>
    </xf>
    <xf numFmtId="172" fontId="0" fillId="5" borderId="0" xfId="0" applyNumberFormat="1" applyFont="1" applyFill="1" applyBorder="1"/>
    <xf numFmtId="172" fontId="0" fillId="5" borderId="6" xfId="0" applyNumberFormat="1" applyFont="1" applyFill="1" applyBorder="1"/>
    <xf numFmtId="0" fontId="0" fillId="5" borderId="0" xfId="0" applyNumberFormat="1" applyFont="1" applyFill="1" applyBorder="1" applyAlignment="1">
      <alignment horizontal="left"/>
    </xf>
    <xf numFmtId="0" fontId="0" fillId="0" borderId="0" xfId="0" applyNumberFormat="1" applyFont="1" applyFill="1"/>
    <xf numFmtId="0" fontId="10" fillId="6" borderId="0" xfId="0" applyNumberFormat="1" applyFont="1" applyFill="1" applyBorder="1" applyAlignment="1"/>
    <xf numFmtId="0" fontId="24" fillId="6" borderId="0" xfId="2" applyNumberFormat="1" applyFont="1" applyFill="1" applyBorder="1" applyAlignment="1"/>
    <xf numFmtId="0" fontId="0" fillId="6" borderId="1" xfId="0" applyNumberFormat="1" applyFont="1" applyFill="1" applyBorder="1" applyAlignment="1"/>
    <xf numFmtId="0" fontId="0" fillId="6" borderId="0" xfId="0" applyNumberFormat="1" applyFont="1" applyFill="1" applyBorder="1" applyAlignment="1"/>
    <xf numFmtId="0" fontId="0" fillId="6" borderId="0" xfId="0" applyNumberFormat="1" applyFont="1" applyFill="1" applyBorder="1" applyAlignment="1">
      <alignment horizontal="center"/>
    </xf>
    <xf numFmtId="0" fontId="10" fillId="6" borderId="3" xfId="0" applyNumberFormat="1" applyFont="1" applyFill="1" applyBorder="1" applyAlignment="1"/>
    <xf numFmtId="0" fontId="0" fillId="0" borderId="0" xfId="0" applyNumberFormat="1" applyFont="1" applyFill="1" applyAlignment="1">
      <alignment horizontal="center"/>
    </xf>
    <xf numFmtId="0" fontId="0" fillId="6" borderId="4" xfId="0" applyNumberFormat="1" applyFont="1" applyFill="1" applyBorder="1" applyAlignment="1">
      <alignment horizontal="left"/>
    </xf>
    <xf numFmtId="0" fontId="0" fillId="6" borderId="5" xfId="0" applyNumberFormat="1" applyFont="1" applyFill="1" applyBorder="1" applyAlignment="1">
      <alignment horizontal="left"/>
    </xf>
    <xf numFmtId="0" fontId="10" fillId="6" borderId="5" xfId="0" applyNumberFormat="1" applyFont="1" applyFill="1" applyBorder="1" applyAlignment="1">
      <alignment horizontal="right"/>
    </xf>
    <xf numFmtId="0" fontId="10" fillId="6" borderId="5" xfId="0" applyNumberFormat="1" applyFont="1" applyFill="1" applyBorder="1" applyAlignment="1">
      <alignment horizontal="center"/>
    </xf>
    <xf numFmtId="0" fontId="0" fillId="0" borderId="0" xfId="0" applyNumberFormat="1" applyFont="1" applyFill="1" applyBorder="1"/>
    <xf numFmtId="0" fontId="0" fillId="5" borderId="0" xfId="0" applyNumberFormat="1" applyFont="1" applyFill="1" applyBorder="1"/>
    <xf numFmtId="0" fontId="0" fillId="5" borderId="0" xfId="0" applyNumberFormat="1" applyFont="1" applyFill="1" applyBorder="1" applyAlignment="1">
      <alignment horizontal="center"/>
    </xf>
    <xf numFmtId="0" fontId="0" fillId="6" borderId="0" xfId="0" applyNumberFormat="1" applyFont="1" applyFill="1" applyBorder="1"/>
    <xf numFmtId="0" fontId="41" fillId="6" borderId="0" xfId="0" applyNumberFormat="1" applyFont="1" applyFill="1" applyBorder="1"/>
    <xf numFmtId="0" fontId="41" fillId="6" borderId="0" xfId="0" applyNumberFormat="1" applyFont="1" applyFill="1" applyBorder="1" applyAlignment="1">
      <alignment horizontal="center"/>
    </xf>
    <xf numFmtId="0" fontId="41" fillId="6" borderId="1" xfId="0" applyNumberFormat="1" applyFont="1" applyFill="1" applyBorder="1" applyAlignment="1">
      <alignment horizontal="left"/>
    </xf>
    <xf numFmtId="0" fontId="41" fillId="6" borderId="0" xfId="0" applyNumberFormat="1" applyFont="1" applyFill="1" applyBorder="1" applyAlignment="1">
      <alignment horizontal="left"/>
    </xf>
    <xf numFmtId="0" fontId="0" fillId="5" borderId="2" xfId="0" applyNumberFormat="1" applyFont="1" applyFill="1" applyBorder="1" applyAlignment="1">
      <alignment horizontal="left"/>
    </xf>
    <xf numFmtId="0" fontId="0" fillId="5" borderId="3" xfId="0" applyNumberFormat="1" applyFont="1" applyFill="1" applyBorder="1" applyAlignment="1">
      <alignment horizontal="left"/>
    </xf>
    <xf numFmtId="0" fontId="0" fillId="5" borderId="3" xfId="0" applyNumberFormat="1" applyFont="1" applyFill="1" applyBorder="1"/>
    <xf numFmtId="0" fontId="0" fillId="5" borderId="3" xfId="0" applyNumberFormat="1" applyFont="1" applyFill="1" applyBorder="1" applyAlignment="1">
      <alignment horizontal="center"/>
    </xf>
    <xf numFmtId="0" fontId="0" fillId="0" borderId="0" xfId="0" applyNumberFormat="1" applyFont="1" applyFill="1" applyAlignment="1">
      <alignment horizontal="left"/>
    </xf>
    <xf numFmtId="0" fontId="10" fillId="6" borderId="5" xfId="0" applyNumberFormat="1" applyFont="1" applyFill="1" applyBorder="1"/>
    <xf numFmtId="0" fontId="0" fillId="6" borderId="0" xfId="7" applyNumberFormat="1" applyFont="1" applyFill="1" applyBorder="1"/>
    <xf numFmtId="0" fontId="0" fillId="6" borderId="0" xfId="7" applyNumberFormat="1" applyFont="1" applyFill="1" applyBorder="1" applyAlignment="1">
      <alignment horizontal="center"/>
    </xf>
    <xf numFmtId="0" fontId="0" fillId="6" borderId="1" xfId="0" applyNumberFormat="1" applyFont="1" applyFill="1" applyBorder="1"/>
    <xf numFmtId="0" fontId="41" fillId="5" borderId="0" xfId="0" applyNumberFormat="1" applyFont="1" applyFill="1" applyBorder="1"/>
    <xf numFmtId="0" fontId="41" fillId="5" borderId="1" xfId="0" applyNumberFormat="1" applyFont="1" applyFill="1" applyBorder="1" applyAlignment="1">
      <alignment horizontal="left"/>
    </xf>
    <xf numFmtId="0" fontId="41" fillId="5" borderId="0" xfId="0" applyNumberFormat="1" applyFont="1" applyFill="1" applyBorder="1" applyAlignment="1">
      <alignment horizontal="left"/>
    </xf>
    <xf numFmtId="0" fontId="41" fillId="5" borderId="0" xfId="0" applyNumberFormat="1" applyFont="1" applyFill="1" applyBorder="1" applyAlignment="1">
      <alignment horizontal="center"/>
    </xf>
    <xf numFmtId="0" fontId="42" fillId="6" borderId="0" xfId="0" applyNumberFormat="1" applyFont="1" applyFill="1" applyBorder="1"/>
    <xf numFmtId="0" fontId="0" fillId="6" borderId="1" xfId="0" applyNumberFormat="1" applyFill="1" applyBorder="1"/>
    <xf numFmtId="0" fontId="0" fillId="6" borderId="0" xfId="0" applyNumberFormat="1" applyFill="1" applyBorder="1"/>
    <xf numFmtId="0" fontId="0" fillId="5" borderId="2" xfId="0" applyNumberFormat="1" applyFill="1" applyBorder="1"/>
    <xf numFmtId="175" fontId="10" fillId="0" borderId="1" xfId="0" applyNumberFormat="1" applyFont="1" applyFill="1" applyBorder="1"/>
    <xf numFmtId="0" fontId="15" fillId="6" borderId="1" xfId="2" applyNumberFormat="1" applyFont="1" applyFill="1" applyBorder="1" applyAlignment="1"/>
    <xf numFmtId="0" fontId="0" fillId="6" borderId="2" xfId="0" applyNumberFormat="1" applyFont="1" applyFill="1" applyBorder="1" applyAlignment="1"/>
    <xf numFmtId="9" fontId="30" fillId="0" borderId="5" xfId="16" applyFont="1" applyFill="1" applyBorder="1" applyAlignment="1">
      <alignment horizontal="center"/>
    </xf>
    <xf numFmtId="0" fontId="0" fillId="6" borderId="5" xfId="0" applyNumberFormat="1" applyFont="1" applyFill="1" applyBorder="1"/>
    <xf numFmtId="0" fontId="0" fillId="6" borderId="5" xfId="0" applyNumberFormat="1" applyFont="1" applyFill="1" applyBorder="1" applyAlignment="1">
      <alignment horizontal="center"/>
    </xf>
    <xf numFmtId="172" fontId="0" fillId="6" borderId="5" xfId="0" applyNumberFormat="1" applyFont="1" applyFill="1" applyBorder="1"/>
    <xf numFmtId="172" fontId="0" fillId="6" borderId="7" xfId="0" applyNumberFormat="1" applyFont="1" applyFill="1" applyBorder="1"/>
    <xf numFmtId="0" fontId="0" fillId="0" borderId="0" xfId="0" applyNumberFormat="1" applyFill="1"/>
    <xf numFmtId="0" fontId="0" fillId="5" borderId="1" xfId="0" applyNumberFormat="1" applyFont="1" applyFill="1" applyBorder="1"/>
    <xf numFmtId="0" fontId="0" fillId="5" borderId="2" xfId="0" applyNumberFormat="1" applyFont="1" applyFill="1" applyBorder="1"/>
    <xf numFmtId="0" fontId="0" fillId="5" borderId="0" xfId="7" applyNumberFormat="1" applyFont="1" applyFill="1" applyBorder="1" applyAlignment="1">
      <alignment horizontal="center"/>
    </xf>
    <xf numFmtId="0" fontId="42" fillId="5" borderId="0" xfId="0" applyNumberFormat="1" applyFont="1" applyFill="1" applyBorder="1"/>
    <xf numFmtId="0" fontId="31" fillId="5" borderId="0" xfId="0" applyNumberFormat="1" applyFont="1" applyFill="1" applyBorder="1"/>
    <xf numFmtId="0" fontId="40" fillId="0" borderId="0" xfId="0" applyNumberFormat="1" applyFont="1" applyFill="1" applyBorder="1" applyAlignment="1">
      <alignment horizontal="center"/>
    </xf>
    <xf numFmtId="167" fontId="0" fillId="5" borderId="6" xfId="7" applyNumberFormat="1" applyFont="1" applyFill="1" applyBorder="1"/>
    <xf numFmtId="167" fontId="0" fillId="5" borderId="3" xfId="7" applyNumberFormat="1" applyFont="1" applyFill="1" applyBorder="1"/>
    <xf numFmtId="167" fontId="0" fillId="5" borderId="8" xfId="7" applyNumberFormat="1" applyFont="1" applyFill="1" applyBorder="1"/>
    <xf numFmtId="0" fontId="10" fillId="5" borderId="4" xfId="0" applyNumberFormat="1" applyFont="1" applyFill="1" applyBorder="1" applyAlignment="1">
      <alignment horizontal="center"/>
    </xf>
    <xf numFmtId="0" fontId="10" fillId="5" borderId="5" xfId="0" applyNumberFormat="1" applyFont="1" applyFill="1" applyBorder="1" applyAlignment="1">
      <alignment horizontal="center"/>
    </xf>
    <xf numFmtId="0" fontId="12" fillId="5" borderId="5" xfId="0" applyNumberFormat="1" applyFont="1" applyFill="1" applyBorder="1" applyAlignment="1">
      <alignment horizontal="center"/>
    </xf>
    <xf numFmtId="0" fontId="12" fillId="5" borderId="5" xfId="0" applyFont="1" applyFill="1" applyBorder="1" applyAlignment="1">
      <alignment horizontal="right"/>
    </xf>
    <xf numFmtId="0" fontId="12" fillId="5" borderId="7" xfId="0" applyFont="1" applyFill="1" applyBorder="1" applyAlignment="1">
      <alignment horizontal="right"/>
    </xf>
    <xf numFmtId="0" fontId="0" fillId="5" borderId="0" xfId="7" applyNumberFormat="1" applyFont="1" applyFill="1" applyBorder="1"/>
    <xf numFmtId="0" fontId="42" fillId="6" borderId="0" xfId="0" applyNumberFormat="1" applyFont="1" applyFill="1" applyBorder="1" applyAlignment="1">
      <alignment horizontal="center"/>
    </xf>
    <xf numFmtId="0" fontId="42" fillId="5" borderId="0" xfId="0" applyNumberFormat="1" applyFont="1" applyFill="1" applyBorder="1" applyAlignment="1">
      <alignment horizontal="center"/>
    </xf>
    <xf numFmtId="175" fontId="5" fillId="0" borderId="0" xfId="7" applyNumberFormat="1" applyFont="1" applyFill="1" applyBorder="1"/>
    <xf numFmtId="0" fontId="0" fillId="5" borderId="5" xfId="0" applyFill="1" applyBorder="1" applyAlignment="1">
      <alignment horizontal="right"/>
    </xf>
    <xf numFmtId="0" fontId="0" fillId="5" borderId="7" xfId="0" applyFill="1" applyBorder="1" applyAlignment="1">
      <alignment horizontal="right"/>
    </xf>
    <xf numFmtId="0" fontId="0" fillId="6" borderId="0" xfId="0" applyFill="1" applyBorder="1" applyAlignment="1">
      <alignment horizontal="center"/>
    </xf>
    <xf numFmtId="0" fontId="0" fillId="6" borderId="3" xfId="0" applyFill="1" applyBorder="1" applyAlignment="1">
      <alignment horizontal="center"/>
    </xf>
    <xf numFmtId="0" fontId="0" fillId="6" borderId="8" xfId="0" applyFill="1" applyBorder="1" applyAlignment="1">
      <alignment horizontal="center"/>
    </xf>
    <xf numFmtId="167" fontId="15" fillId="6" borderId="0" xfId="7" applyNumberFormat="1" applyFont="1" applyFill="1" applyBorder="1" applyAlignment="1"/>
    <xf numFmtId="167" fontId="15" fillId="6" borderId="6" xfId="7" applyNumberFormat="1" applyFont="1" applyFill="1" applyBorder="1" applyAlignment="1"/>
    <xf numFmtId="167" fontId="5" fillId="6" borderId="0" xfId="7" applyNumberFormat="1" applyFont="1" applyFill="1" applyBorder="1" applyAlignment="1"/>
    <xf numFmtId="167" fontId="5" fillId="6" borderId="6" xfId="7" applyNumberFormat="1" applyFont="1" applyFill="1" applyBorder="1" applyAlignment="1"/>
    <xf numFmtId="44" fontId="0" fillId="6" borderId="3" xfId="7" applyFont="1" applyFill="1" applyBorder="1" applyAlignment="1"/>
    <xf numFmtId="0" fontId="39" fillId="0" borderId="0" xfId="0" applyNumberFormat="1" applyFont="1" applyFill="1" applyBorder="1" applyAlignment="1">
      <alignment horizontal="center"/>
    </xf>
    <xf numFmtId="0" fontId="10" fillId="5" borderId="4" xfId="0" applyNumberFormat="1" applyFont="1" applyFill="1" applyBorder="1" applyAlignment="1"/>
    <xf numFmtId="0" fontId="10" fillId="5" borderId="5" xfId="0" applyNumberFormat="1" applyFont="1" applyFill="1" applyBorder="1" applyAlignment="1"/>
    <xf numFmtId="0" fontId="10" fillId="5" borderId="5" xfId="0" applyNumberFormat="1" applyFont="1" applyFill="1" applyBorder="1" applyAlignment="1">
      <alignment horizontal="right"/>
    </xf>
    <xf numFmtId="0" fontId="10" fillId="5" borderId="5" xfId="0" applyFont="1" applyFill="1" applyBorder="1" applyAlignment="1">
      <alignment horizontal="center"/>
    </xf>
    <xf numFmtId="0" fontId="10" fillId="5" borderId="7" xfId="0" applyFont="1" applyFill="1" applyBorder="1" applyAlignment="1">
      <alignment horizontal="center"/>
    </xf>
    <xf numFmtId="0" fontId="37" fillId="6" borderId="0" xfId="0" applyFont="1" applyFill="1" applyBorder="1" applyAlignment="1">
      <alignment horizontal="left"/>
    </xf>
    <xf numFmtId="0" fontId="0" fillId="5" borderId="4" xfId="0" applyFont="1" applyFill="1" applyBorder="1" applyAlignment="1">
      <alignment horizontal="left"/>
    </xf>
    <xf numFmtId="0" fontId="0" fillId="5" borderId="5" xfId="0" applyFont="1" applyFill="1" applyBorder="1" applyAlignment="1">
      <alignment horizontal="left"/>
    </xf>
    <xf numFmtId="0" fontId="0" fillId="5" borderId="5" xfId="0" applyNumberFormat="1" applyFont="1" applyFill="1" applyBorder="1" applyAlignment="1">
      <alignment horizontal="center"/>
    </xf>
    <xf numFmtId="0" fontId="15" fillId="6" borderId="0" xfId="2" applyNumberFormat="1" applyFont="1" applyFill="1" applyBorder="1" applyAlignment="1">
      <alignment horizontal="center"/>
    </xf>
    <xf numFmtId="0" fontId="0" fillId="6" borderId="3" xfId="0" applyNumberFormat="1" applyFont="1" applyFill="1" applyBorder="1" applyAlignment="1">
      <alignment horizontal="center"/>
    </xf>
    <xf numFmtId="0" fontId="0" fillId="5" borderId="5" xfId="0" applyFill="1" applyBorder="1" applyAlignment="1">
      <alignment horizontal="center"/>
    </xf>
    <xf numFmtId="44" fontId="0" fillId="6" borderId="0" xfId="7" applyFont="1" applyFill="1" applyBorder="1" applyAlignment="1"/>
    <xf numFmtId="44" fontId="0" fillId="6" borderId="6" xfId="7" applyFont="1" applyFill="1" applyBorder="1" applyAlignment="1"/>
    <xf numFmtId="165" fontId="10" fillId="6" borderId="0" xfId="3" applyNumberFormat="1" applyFont="1" applyFill="1" applyBorder="1" applyAlignment="1"/>
    <xf numFmtId="165" fontId="10" fillId="6" borderId="6" xfId="3" applyNumberFormat="1" applyFont="1" applyFill="1" applyBorder="1" applyAlignment="1"/>
    <xf numFmtId="169" fontId="0" fillId="0" borderId="0" xfId="0" applyNumberFormat="1"/>
    <xf numFmtId="165" fontId="0" fillId="0" borderId="0" xfId="3" applyNumberFormat="1" applyFont="1" applyFill="1" applyBorder="1"/>
    <xf numFmtId="165" fontId="0" fillId="0" borderId="0" xfId="0" applyNumberFormat="1" applyFill="1"/>
    <xf numFmtId="44" fontId="0" fillId="0" borderId="0" xfId="7" applyFont="1" applyFill="1"/>
    <xf numFmtId="167" fontId="13" fillId="6" borderId="0" xfId="7" applyNumberFormat="1" applyFont="1" applyFill="1" applyBorder="1" applyAlignment="1">
      <alignment horizontal="left"/>
    </xf>
    <xf numFmtId="44" fontId="13" fillId="6" borderId="0" xfId="7" applyNumberFormat="1" applyFont="1" applyFill="1" applyBorder="1" applyAlignment="1">
      <alignment horizontal="left"/>
    </xf>
    <xf numFmtId="167" fontId="0" fillId="5" borderId="0" xfId="7" applyNumberFormat="1" applyFont="1" applyFill="1"/>
    <xf numFmtId="167" fontId="0" fillId="6" borderId="0" xfId="7" applyNumberFormat="1" applyFont="1" applyFill="1"/>
    <xf numFmtId="167" fontId="2" fillId="6" borderId="0" xfId="7" applyNumberFormat="1" applyFont="1" applyFill="1" applyBorder="1"/>
    <xf numFmtId="167" fontId="2" fillId="5" borderId="0" xfId="7" applyNumberFormat="1" applyFont="1" applyFill="1" applyBorder="1"/>
    <xf numFmtId="167" fontId="2" fillId="5" borderId="3" xfId="7" applyNumberFormat="1" applyFont="1" applyFill="1" applyBorder="1"/>
    <xf numFmtId="167" fontId="0" fillId="0" borderId="0" xfId="7" applyNumberFormat="1" applyFont="1" applyFill="1" applyBorder="1"/>
    <xf numFmtId="167" fontId="0" fillId="0" borderId="0" xfId="7" applyNumberFormat="1" applyFont="1" applyFill="1"/>
    <xf numFmtId="167" fontId="28" fillId="0" borderId="0" xfId="7" applyNumberFormat="1" applyFont="1" applyFill="1" applyBorder="1"/>
    <xf numFmtId="167" fontId="0" fillId="6" borderId="5" xfId="7" applyNumberFormat="1" applyFont="1" applyFill="1" applyBorder="1"/>
    <xf numFmtId="167" fontId="0" fillId="6" borderId="7" xfId="7" applyNumberFormat="1" applyFont="1" applyFill="1" applyBorder="1"/>
    <xf numFmtId="9" fontId="0" fillId="0" borderId="0" xfId="16" applyFont="1"/>
    <xf numFmtId="164" fontId="0" fillId="0" borderId="0" xfId="16" applyNumberFormat="1" applyFont="1"/>
    <xf numFmtId="10" fontId="0" fillId="5" borderId="0" xfId="16" applyNumberFormat="1" applyFont="1" applyFill="1"/>
    <xf numFmtId="174" fontId="0" fillId="6" borderId="0" xfId="0" applyNumberFormat="1" applyFill="1" applyBorder="1"/>
    <xf numFmtId="165" fontId="0" fillId="0" borderId="0" xfId="0" applyNumberFormat="1" applyBorder="1" applyAlignment="1"/>
    <xf numFmtId="43" fontId="0" fillId="0" borderId="0" xfId="0" applyNumberFormat="1" applyBorder="1" applyAlignment="1"/>
    <xf numFmtId="10" fontId="0" fillId="0" borderId="0" xfId="16" applyNumberFormat="1" applyFont="1" applyBorder="1" applyAlignment="1"/>
    <xf numFmtId="170" fontId="13" fillId="6" borderId="0" xfId="3" applyNumberFormat="1" applyFont="1" applyFill="1" applyBorder="1"/>
    <xf numFmtId="170" fontId="13" fillId="6" borderId="0" xfId="16" applyNumberFormat="1" applyFont="1" applyFill="1" applyBorder="1"/>
    <xf numFmtId="167" fontId="13" fillId="5" borderId="0" xfId="7" applyNumberFormat="1" applyFont="1" applyFill="1" applyBorder="1"/>
    <xf numFmtId="167" fontId="13" fillId="5" borderId="6" xfId="7" applyNumberFormat="1" applyFont="1" applyFill="1" applyBorder="1"/>
    <xf numFmtId="167" fontId="13" fillId="7" borderId="0" xfId="7" applyNumberFormat="1" applyFont="1" applyFill="1" applyBorder="1"/>
    <xf numFmtId="167" fontId="13" fillId="7" borderId="6" xfId="7" applyNumberFormat="1" applyFont="1" applyFill="1" applyBorder="1"/>
    <xf numFmtId="167" fontId="13" fillId="6" borderId="6" xfId="7" applyNumberFormat="1" applyFont="1" applyFill="1" applyBorder="1"/>
    <xf numFmtId="0" fontId="0" fillId="6" borderId="8" xfId="0" applyFont="1" applyFill="1" applyBorder="1" applyAlignment="1">
      <alignment horizontal="center"/>
    </xf>
    <xf numFmtId="169" fontId="0" fillId="0" borderId="0" xfId="0" applyNumberFormat="1" applyAlignment="1">
      <alignment horizontal="center"/>
    </xf>
    <xf numFmtId="172" fontId="0" fillId="0" borderId="0" xfId="0" applyNumberFormat="1" applyFill="1" applyBorder="1" applyAlignment="1">
      <alignment horizontal="center"/>
    </xf>
    <xf numFmtId="170" fontId="0" fillId="0" borderId="0" xfId="0" applyNumberFormat="1" applyFill="1" applyBorder="1" applyAlignment="1">
      <alignment horizontal="center"/>
    </xf>
    <xf numFmtId="167" fontId="13" fillId="5" borderId="0" xfId="7" applyNumberFormat="1" applyFont="1" applyFill="1" applyBorder="1" applyAlignment="1">
      <alignment horizontal="right"/>
    </xf>
    <xf numFmtId="167" fontId="13" fillId="7" borderId="0" xfId="7" applyNumberFormat="1" applyFont="1" applyFill="1" applyBorder="1" applyAlignment="1">
      <alignment horizontal="right"/>
    </xf>
    <xf numFmtId="44" fontId="0" fillId="0" borderId="0" xfId="7" applyFont="1"/>
    <xf numFmtId="167" fontId="0" fillId="0" borderId="0" xfId="7" applyNumberFormat="1" applyFont="1"/>
    <xf numFmtId="0" fontId="0" fillId="0" borderId="0" xfId="0" applyNumberFormat="1" applyAlignment="1">
      <alignment horizontal="left"/>
    </xf>
    <xf numFmtId="44" fontId="0" fillId="0" borderId="0" xfId="7" applyFont="1" applyFill="1" applyBorder="1" applyAlignment="1"/>
    <xf numFmtId="44" fontId="1" fillId="0" borderId="0" xfId="7" applyFont="1" applyFill="1" applyBorder="1" applyAlignment="1"/>
    <xf numFmtId="8" fontId="0" fillId="0" borderId="0" xfId="0" applyNumberFormat="1" applyFill="1" applyBorder="1" applyAlignment="1"/>
    <xf numFmtId="9" fontId="0" fillId="0" borderId="0" xfId="16" applyNumberFormat="1" applyFont="1" applyFill="1"/>
    <xf numFmtId="44" fontId="0" fillId="6" borderId="0" xfId="7" applyNumberFormat="1" applyFont="1" applyFill="1" applyBorder="1"/>
    <xf numFmtId="164" fontId="0" fillId="0" borderId="0" xfId="16" applyNumberFormat="1" applyFont="1" applyAlignment="1"/>
    <xf numFmtId="9" fontId="13" fillId="6" borderId="0" xfId="0" applyNumberFormat="1" applyFont="1" applyFill="1" applyBorder="1" applyAlignment="1">
      <alignment horizontal="right"/>
    </xf>
    <xf numFmtId="164" fontId="15" fillId="6" borderId="0" xfId="0" applyNumberFormat="1" applyFont="1" applyFill="1" applyBorder="1" applyAlignment="1">
      <alignment horizontal="left"/>
    </xf>
    <xf numFmtId="0" fontId="6" fillId="5" borderId="6" xfId="1" applyFill="1" applyBorder="1"/>
    <xf numFmtId="0" fontId="0" fillId="5" borderId="4" xfId="0" applyFill="1" applyBorder="1" applyAlignment="1">
      <alignment horizontal="right"/>
    </xf>
    <xf numFmtId="165" fontId="13" fillId="6" borderId="4" xfId="3" applyNumberFormat="1" applyFont="1" applyFill="1" applyBorder="1"/>
    <xf numFmtId="165" fontId="13" fillId="6" borderId="5" xfId="3" applyNumberFormat="1" applyFont="1" applyFill="1" applyBorder="1"/>
    <xf numFmtId="165" fontId="13" fillId="6" borderId="7" xfId="3" applyNumberFormat="1" applyFont="1" applyFill="1" applyBorder="1"/>
    <xf numFmtId="165" fontId="13" fillId="6" borderId="2" xfId="3" applyNumberFormat="1" applyFont="1" applyFill="1" applyBorder="1"/>
    <xf numFmtId="165" fontId="13" fillId="6" borderId="3" xfId="3" applyNumberFormat="1" applyFont="1" applyFill="1" applyBorder="1"/>
    <xf numFmtId="165" fontId="13" fillId="6" borderId="8" xfId="3" applyNumberFormat="1" applyFont="1" applyFill="1" applyBorder="1"/>
    <xf numFmtId="165" fontId="13" fillId="0" borderId="0" xfId="3" applyNumberFormat="1" applyFont="1" applyFill="1" applyBorder="1"/>
    <xf numFmtId="0" fontId="0" fillId="6" borderId="6" xfId="0" applyFill="1" applyBorder="1" applyAlignment="1">
      <alignment horizontal="right"/>
    </xf>
    <xf numFmtId="9" fontId="5" fillId="5" borderId="0" xfId="16" applyFont="1" applyFill="1" applyBorder="1"/>
    <xf numFmtId="167" fontId="0" fillId="6" borderId="0" xfId="0" applyNumberFormat="1" applyFill="1"/>
    <xf numFmtId="0" fontId="0" fillId="7" borderId="0" xfId="0" applyFont="1" applyFill="1" applyBorder="1"/>
    <xf numFmtId="167" fontId="0" fillId="7" borderId="0" xfId="7" applyNumberFormat="1" applyFont="1" applyFill="1" applyBorder="1"/>
    <xf numFmtId="177" fontId="0" fillId="0" borderId="0" xfId="16" applyNumberFormat="1" applyFont="1" applyAlignment="1"/>
    <xf numFmtId="178" fontId="0" fillId="0" borderId="0" xfId="0" applyNumberFormat="1"/>
    <xf numFmtId="43" fontId="0" fillId="0" borderId="0" xfId="3" applyNumberFormat="1" applyFont="1"/>
    <xf numFmtId="10" fontId="0" fillId="0" borderId="0" xfId="16" applyNumberFormat="1" applyFont="1"/>
    <xf numFmtId="167" fontId="0" fillId="0" borderId="0" xfId="7" applyNumberFormat="1" applyFont="1" applyAlignment="1"/>
    <xf numFmtId="165" fontId="0" fillId="0" borderId="0" xfId="3" applyNumberFormat="1" applyFont="1" applyAlignment="1"/>
    <xf numFmtId="44" fontId="0" fillId="6" borderId="0" xfId="0" applyNumberFormat="1" applyFill="1"/>
    <xf numFmtId="44" fontId="0" fillId="5" borderId="0" xfId="0" applyNumberFormat="1" applyFill="1" applyBorder="1" applyAlignment="1">
      <alignment horizontal="left"/>
    </xf>
    <xf numFmtId="167" fontId="0" fillId="0" borderId="0" xfId="0" applyNumberFormat="1" applyFill="1" applyBorder="1"/>
    <xf numFmtId="0" fontId="43" fillId="0" borderId="0" xfId="0" applyFont="1" applyAlignment="1"/>
    <xf numFmtId="0" fontId="12" fillId="5" borderId="4" xfId="0" applyFont="1" applyFill="1" applyBorder="1" applyAlignment="1">
      <alignment horizontal="center"/>
    </xf>
    <xf numFmtId="0" fontId="12" fillId="5" borderId="5" xfId="0" applyFont="1" applyFill="1" applyBorder="1" applyAlignment="1">
      <alignment horizontal="center"/>
    </xf>
    <xf numFmtId="0" fontId="23" fillId="5" borderId="4" xfId="0" applyFont="1" applyFill="1" applyBorder="1" applyAlignment="1">
      <alignment horizontal="center"/>
    </xf>
    <xf numFmtId="0" fontId="23" fillId="5" borderId="5" xfId="0" applyFont="1" applyFill="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6" borderId="9" xfId="0" applyFont="1" applyFill="1" applyBorder="1" applyAlignment="1">
      <alignment horizontal="center"/>
    </xf>
    <xf numFmtId="0" fontId="14" fillId="6" borderId="10" xfId="0" applyFont="1" applyFill="1" applyBorder="1" applyAlignment="1">
      <alignment horizontal="center"/>
    </xf>
    <xf numFmtId="0" fontId="14" fillId="6" borderId="11" xfId="0" applyFont="1" applyFill="1" applyBorder="1" applyAlignment="1">
      <alignment horizontal="center"/>
    </xf>
    <xf numFmtId="0" fontId="24" fillId="6" borderId="9" xfId="0" applyFont="1" applyFill="1" applyBorder="1" applyAlignment="1">
      <alignment horizontal="center"/>
    </xf>
    <xf numFmtId="0" fontId="24" fillId="6" borderId="10" xfId="0" applyFont="1" applyFill="1" applyBorder="1" applyAlignment="1">
      <alignment horizontal="center"/>
    </xf>
    <xf numFmtId="0" fontId="24" fillId="6" borderId="11"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0" fillId="6" borderId="0" xfId="0" applyFill="1" applyBorder="1" applyAlignment="1">
      <alignment horizontal="center"/>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0" xfId="0" applyFont="1" applyFill="1" applyBorder="1" applyAlignment="1">
      <alignment horizontal="center" vertical="center"/>
    </xf>
    <xf numFmtId="0" fontId="10" fillId="0" borderId="0" xfId="0" applyFont="1" applyAlignment="1">
      <alignment horizontal="left"/>
    </xf>
    <xf numFmtId="0" fontId="19" fillId="6" borderId="9" xfId="0" applyFont="1" applyFill="1" applyBorder="1" applyAlignment="1">
      <alignment horizontal="center"/>
    </xf>
    <xf numFmtId="0" fontId="19" fillId="6" borderId="10" xfId="0" applyFont="1" applyFill="1" applyBorder="1" applyAlignment="1">
      <alignment horizont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0" xfId="0" applyFont="1" applyFill="1" applyBorder="1" applyAlignment="1">
      <alignment horizontal="center" vertical="center"/>
    </xf>
    <xf numFmtId="0" fontId="16" fillId="6" borderId="9" xfId="0" applyFont="1" applyFill="1" applyBorder="1" applyAlignment="1">
      <alignment horizontal="center"/>
    </xf>
    <xf numFmtId="0" fontId="16" fillId="6" borderId="10" xfId="0" applyFont="1" applyFill="1" applyBorder="1" applyAlignment="1">
      <alignment horizontal="center"/>
    </xf>
    <xf numFmtId="0" fontId="10" fillId="6" borderId="9" xfId="0" applyFont="1" applyFill="1" applyBorder="1" applyAlignment="1">
      <alignment horizontal="center"/>
    </xf>
    <xf numFmtId="0" fontId="10" fillId="6" borderId="10" xfId="0" applyFont="1" applyFill="1" applyBorder="1" applyAlignment="1">
      <alignment horizontal="center"/>
    </xf>
    <xf numFmtId="0" fontId="16" fillId="6" borderId="4" xfId="0" applyFont="1" applyFill="1" applyBorder="1" applyAlignment="1">
      <alignment horizontal="center"/>
    </xf>
    <xf numFmtId="0" fontId="16" fillId="6" borderId="5" xfId="0" applyFont="1" applyFill="1" applyBorder="1" applyAlignment="1">
      <alignment horizontal="center"/>
    </xf>
    <xf numFmtId="0" fontId="12" fillId="5" borderId="3" xfId="0" applyFont="1" applyFill="1" applyBorder="1" applyAlignment="1">
      <alignment horizontal="center" vertical="center"/>
    </xf>
    <xf numFmtId="0" fontId="12" fillId="5" borderId="2" xfId="0" applyFont="1" applyFill="1" applyBorder="1" applyAlignment="1">
      <alignment horizontal="center" vertical="center"/>
    </xf>
    <xf numFmtId="0" fontId="10" fillId="6" borderId="5" xfId="0" applyFont="1" applyFill="1" applyBorder="1" applyAlignment="1">
      <alignment horizontal="center"/>
    </xf>
    <xf numFmtId="0" fontId="20" fillId="6" borderId="9" xfId="0" applyFont="1" applyFill="1" applyBorder="1" applyAlignment="1">
      <alignment horizontal="center"/>
    </xf>
    <xf numFmtId="0" fontId="20" fillId="6" borderId="10" xfId="0" applyFont="1" applyFill="1" applyBorder="1" applyAlignment="1">
      <alignment horizontal="center"/>
    </xf>
    <xf numFmtId="0" fontId="16" fillId="6" borderId="2" xfId="0" applyFont="1" applyFill="1" applyBorder="1" applyAlignment="1">
      <alignment horizontal="center"/>
    </xf>
    <xf numFmtId="0" fontId="16" fillId="6" borderId="3" xfId="0" applyFont="1" applyFill="1" applyBorder="1" applyAlignment="1">
      <alignment horizontal="center"/>
    </xf>
    <xf numFmtId="0" fontId="17" fillId="6" borderId="9" xfId="0" applyFont="1" applyFill="1" applyBorder="1" applyAlignment="1">
      <alignment horizontal="center"/>
    </xf>
    <xf numFmtId="0" fontId="17" fillId="6" borderId="10" xfId="0" applyFont="1" applyFill="1" applyBorder="1" applyAlignment="1">
      <alignment horizontal="center"/>
    </xf>
    <xf numFmtId="0" fontId="17" fillId="6" borderId="11" xfId="0" applyFont="1" applyFill="1" applyBorder="1" applyAlignment="1">
      <alignment horizontal="center"/>
    </xf>
    <xf numFmtId="167" fontId="0" fillId="6" borderId="10" xfId="7" applyNumberFormat="1" applyFont="1" applyFill="1" applyBorder="1" applyAlignment="1">
      <alignment horizontal="center"/>
    </xf>
    <xf numFmtId="167" fontId="0" fillId="6" borderId="11" xfId="7" applyNumberFormat="1"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0" fillId="5" borderId="4"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4" fillId="0" borderId="7" xfId="0" applyFont="1" applyBorder="1" applyAlignment="1">
      <alignment horizontal="center"/>
    </xf>
    <xf numFmtId="0" fontId="10" fillId="6" borderId="11" xfId="0" applyFont="1" applyFill="1"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7" xfId="0" applyFont="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1" xfId="0" applyFill="1" applyBorder="1" applyAlignment="1">
      <alignment horizontal="center" vertical="center"/>
    </xf>
    <xf numFmtId="0" fontId="0" fillId="5" borderId="0" xfId="0" applyFill="1" applyBorder="1" applyAlignment="1">
      <alignment horizontal="center" vertical="center"/>
    </xf>
    <xf numFmtId="0" fontId="26" fillId="6" borderId="1" xfId="0" applyFont="1" applyFill="1" applyBorder="1" applyAlignment="1">
      <alignment horizontal="center"/>
    </xf>
    <xf numFmtId="0" fontId="26" fillId="6" borderId="0" xfId="0" applyFont="1" applyFill="1" applyBorder="1" applyAlignment="1">
      <alignment horizontal="center"/>
    </xf>
    <xf numFmtId="0" fontId="25" fillId="6" borderId="1" xfId="0" applyFont="1" applyFill="1" applyBorder="1" applyAlignment="1">
      <alignment horizontal="center"/>
    </xf>
    <xf numFmtId="0" fontId="25" fillId="6" borderId="0" xfId="0" applyFont="1" applyFill="1" applyBorder="1" applyAlignment="1">
      <alignment horizontal="center"/>
    </xf>
    <xf numFmtId="0" fontId="25" fillId="6" borderId="4" xfId="0" applyFont="1" applyFill="1" applyBorder="1" applyAlignment="1">
      <alignment horizontal="center" vertical="center"/>
    </xf>
    <xf numFmtId="0" fontId="25" fillId="6" borderId="5" xfId="0" applyFon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37" fillId="6" borderId="4" xfId="0" applyFont="1" applyFill="1" applyBorder="1" applyAlignment="1">
      <alignment horizontal="left"/>
    </xf>
    <xf numFmtId="0" fontId="37" fillId="6" borderId="5" xfId="0" applyFont="1" applyFill="1" applyBorder="1" applyAlignment="1">
      <alignment horizontal="left"/>
    </xf>
    <xf numFmtId="0" fontId="37" fillId="6" borderId="7" xfId="0" applyFont="1" applyFill="1" applyBorder="1" applyAlignment="1">
      <alignment horizontal="left"/>
    </xf>
    <xf numFmtId="0" fontId="10" fillId="6" borderId="1" xfId="0" applyNumberFormat="1" applyFont="1" applyFill="1" applyBorder="1" applyAlignment="1">
      <alignment horizontal="center"/>
    </xf>
    <xf numFmtId="0" fontId="10" fillId="6" borderId="0" xfId="0" applyNumberFormat="1" applyFont="1" applyFill="1" applyBorder="1" applyAlignment="1">
      <alignment horizontal="center"/>
    </xf>
    <xf numFmtId="0" fontId="10" fillId="6" borderId="6" xfId="0" applyNumberFormat="1" applyFont="1" applyFill="1" applyBorder="1" applyAlignment="1">
      <alignment horizontal="center"/>
    </xf>
    <xf numFmtId="0" fontId="29" fillId="0" borderId="4" xfId="0" applyNumberFormat="1" applyFont="1" applyFill="1" applyBorder="1" applyAlignment="1">
      <alignment horizontal="center"/>
    </xf>
    <xf numFmtId="0" fontId="29" fillId="0" borderId="5" xfId="0" applyNumberFormat="1" applyFont="1" applyFill="1" applyBorder="1" applyAlignment="1">
      <alignment horizontal="center"/>
    </xf>
    <xf numFmtId="0" fontId="29" fillId="0" borderId="7" xfId="0" applyNumberFormat="1" applyFont="1" applyFill="1" applyBorder="1" applyAlignment="1">
      <alignment horizontal="center"/>
    </xf>
    <xf numFmtId="0" fontId="38" fillId="6" borderId="9" xfId="0" applyNumberFormat="1" applyFont="1" applyFill="1" applyBorder="1" applyAlignment="1">
      <alignment horizontal="left"/>
    </xf>
    <xf numFmtId="0" fontId="38" fillId="6" borderId="10" xfId="0" applyNumberFormat="1" applyFont="1" applyFill="1" applyBorder="1" applyAlignment="1">
      <alignment horizontal="left"/>
    </xf>
    <xf numFmtId="0" fontId="38" fillId="6" borderId="11" xfId="0" applyNumberFormat="1" applyFont="1" applyFill="1" applyBorder="1" applyAlignment="1">
      <alignment horizontal="left"/>
    </xf>
    <xf numFmtId="0" fontId="10" fillId="6" borderId="9" xfId="0" applyNumberFormat="1" applyFont="1" applyFill="1" applyBorder="1" applyAlignment="1">
      <alignment horizontal="center"/>
    </xf>
    <xf numFmtId="0" fontId="10" fillId="6" borderId="10" xfId="0" applyNumberFormat="1" applyFont="1" applyFill="1" applyBorder="1" applyAlignment="1">
      <alignment horizontal="center"/>
    </xf>
    <xf numFmtId="0" fontId="10" fillId="6" borderId="11" xfId="0" applyNumberFormat="1" applyFont="1" applyFill="1" applyBorder="1" applyAlignment="1">
      <alignment horizontal="center"/>
    </xf>
    <xf numFmtId="0" fontId="10" fillId="0" borderId="4" xfId="0" applyNumberFormat="1" applyFont="1" applyFill="1" applyBorder="1" applyAlignment="1">
      <alignment horizontal="center"/>
    </xf>
    <xf numFmtId="0" fontId="10" fillId="0" borderId="5" xfId="0" applyNumberFormat="1" applyFont="1" applyFill="1" applyBorder="1" applyAlignment="1">
      <alignment horizontal="center"/>
    </xf>
    <xf numFmtId="0" fontId="10" fillId="0" borderId="7" xfId="0" applyNumberFormat="1" applyFont="1" applyFill="1" applyBorder="1" applyAlignment="1">
      <alignment horizontal="center"/>
    </xf>
    <xf numFmtId="0" fontId="37" fillId="6" borderId="4" xfId="0" applyNumberFormat="1" applyFont="1" applyFill="1" applyBorder="1" applyAlignment="1">
      <alignment horizontal="left"/>
    </xf>
    <xf numFmtId="0" fontId="37" fillId="6" borderId="5" xfId="0" applyNumberFormat="1" applyFont="1" applyFill="1" applyBorder="1" applyAlignment="1">
      <alignment horizontal="left"/>
    </xf>
    <xf numFmtId="0" fontId="37" fillId="6" borderId="7" xfId="0" applyNumberFormat="1" applyFont="1" applyFill="1" applyBorder="1" applyAlignment="1">
      <alignment horizontal="left"/>
    </xf>
    <xf numFmtId="0" fontId="10" fillId="0" borderId="9" xfId="0" applyNumberFormat="1" applyFont="1" applyFill="1" applyBorder="1" applyAlignment="1">
      <alignment horizontal="center"/>
    </xf>
    <xf numFmtId="0" fontId="10" fillId="0" borderId="10" xfId="0" applyNumberFormat="1" applyFont="1" applyFill="1" applyBorder="1" applyAlignment="1">
      <alignment horizontal="center"/>
    </xf>
    <xf numFmtId="0" fontId="10" fillId="0" borderId="11" xfId="0" applyNumberFormat="1" applyFont="1" applyFill="1" applyBorder="1" applyAlignment="1">
      <alignment horizontal="center"/>
    </xf>
    <xf numFmtId="0" fontId="10" fillId="6" borderId="4" xfId="0" applyNumberFormat="1" applyFont="1" applyFill="1" applyBorder="1" applyAlignment="1">
      <alignment horizontal="center"/>
    </xf>
    <xf numFmtId="0" fontId="10" fillId="6" borderId="5" xfId="0" applyNumberFormat="1" applyFont="1" applyFill="1" applyBorder="1" applyAlignment="1">
      <alignment horizontal="center"/>
    </xf>
    <xf numFmtId="0" fontId="10" fillId="6" borderId="7" xfId="0" applyNumberFormat="1" applyFont="1" applyFill="1" applyBorder="1" applyAlignment="1">
      <alignment horizontal="center"/>
    </xf>
  </cellXfs>
  <cellStyles count="1974">
    <cellStyle name="20% - Accent1" xfId="1" builtinId="30"/>
    <cellStyle name="Bad" xfId="2" builtinId="27"/>
    <cellStyle name="Comma" xfId="3" builtinId="3"/>
    <cellStyle name="Comma 2" xfId="4"/>
    <cellStyle name="Comma 3" xfId="5"/>
    <cellStyle name="Comma 4" xfId="6"/>
    <cellStyle name="Currency" xfId="7" builtinId="4"/>
    <cellStyle name="Currency 2" xfId="8"/>
    <cellStyle name="Currency 3" xfId="9"/>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Hyperlink" xfId="1742" builtinId="8" hidden="1"/>
    <cellStyle name="Hyperlink" xfId="1744" builtinId="8" hidden="1"/>
    <cellStyle name="Hyperlink" xfId="1746" builtinId="8" hidden="1"/>
    <cellStyle name="Hyperlink" xfId="1748" builtinId="8" hidden="1"/>
    <cellStyle name="Hyperlink" xfId="1750" builtinId="8" hidden="1"/>
    <cellStyle name="Hyperlink" xfId="1752" builtinId="8" hidden="1"/>
    <cellStyle name="Hyperlink" xfId="1754" builtinId="8" hidden="1"/>
    <cellStyle name="Hyperlink" xfId="1756" builtinId="8" hidden="1"/>
    <cellStyle name="Hyperlink" xfId="1758" builtinId="8" hidden="1"/>
    <cellStyle name="Hyperlink" xfId="1760"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2" xfId="10"/>
    <cellStyle name="Neutral" xfId="11" builtinId="28"/>
    <cellStyle name="Normal" xfId="0" builtinId="0"/>
    <cellStyle name="Normal 2" xfId="12"/>
    <cellStyle name="Normal 3" xfId="13"/>
    <cellStyle name="Normal 4" xfId="14"/>
    <cellStyle name="Normal 5" xfId="15"/>
    <cellStyle name="Percent" xfId="16" builtinId="5"/>
    <cellStyle name="Percent 2" xfId="17"/>
    <cellStyle name="Percent 3" xfId="18"/>
    <cellStyle name="Percent 4" xfId="19"/>
  </cellStyles>
  <dxfs count="16">
    <dxf>
      <font>
        <strike/>
        <color theme="0" tint="-0.24994659260841701"/>
      </font>
      <fill>
        <patternFill patternType="none">
          <fgColor auto="1"/>
          <bgColor auto="1"/>
        </patternFill>
      </fill>
      <border>
        <left/>
        <right/>
        <top/>
        <bottom/>
      </border>
    </dxf>
    <dxf>
      <font>
        <strike val="0"/>
        <color theme="5"/>
      </font>
    </dxf>
    <dxf>
      <font>
        <color rgb="FF9C6500"/>
      </font>
      <fill>
        <patternFill>
          <bgColor rgb="FFFFEB9C"/>
        </patternFill>
      </fill>
    </dxf>
    <dxf>
      <font>
        <color rgb="FF9C6500"/>
      </font>
      <fill>
        <patternFill>
          <bgColor rgb="FFFFEB9C"/>
        </patternFill>
      </fill>
    </dxf>
    <dxf>
      <font>
        <strike/>
        <color theme="5" tint="0.79998168889431442"/>
      </font>
      <fill>
        <patternFill patternType="solid">
          <fgColor indexed="64"/>
          <bgColor theme="0"/>
        </patternFill>
      </fill>
    </dxf>
    <dxf>
      <font>
        <strike/>
        <u val="none"/>
        <color theme="0" tint="-0.14999847407452621"/>
      </font>
      <fill>
        <patternFill patternType="solid">
          <fgColor indexed="64"/>
          <bgColor theme="0"/>
        </patternFill>
      </fill>
      <border>
        <left/>
        <right/>
        <top/>
        <bottom/>
      </border>
    </dxf>
    <dxf>
      <font>
        <strike/>
        <u val="none"/>
        <color theme="0" tint="-0.14999847407452621"/>
      </font>
      <fill>
        <patternFill patternType="solid">
          <fgColor indexed="64"/>
          <bgColor theme="0"/>
        </patternFill>
      </fill>
      <border>
        <left/>
        <right/>
        <top/>
        <bottom/>
      </border>
    </dxf>
    <dxf>
      <font>
        <strike/>
        <u val="none"/>
        <color theme="0" tint="-0.14999847407452621"/>
      </font>
      <fill>
        <patternFill patternType="solid">
          <fgColor indexed="64"/>
          <bgColor theme="0"/>
        </patternFill>
      </fill>
      <border>
        <left/>
        <right/>
        <top/>
        <bottom/>
      </border>
    </dxf>
    <dxf>
      <font>
        <strike/>
        <color theme="0" tint="-0.14999847407452621"/>
      </font>
      <fill>
        <patternFill patternType="solid">
          <fgColor indexed="64"/>
          <bgColor theme="0"/>
        </patternFill>
      </fill>
      <border>
        <left/>
        <right/>
        <top/>
        <bottom/>
      </border>
    </dxf>
    <dxf>
      <font>
        <strike/>
        <color theme="0" tint="-0.14999847407452621"/>
      </font>
      <fill>
        <patternFill patternType="solid">
          <fgColor indexed="64"/>
          <bgColor theme="0"/>
        </patternFill>
      </fill>
    </dxf>
    <dxf>
      <font>
        <strike/>
        <u val="none"/>
        <color theme="0" tint="-0.14999847407452621"/>
      </font>
      <fill>
        <patternFill patternType="solid">
          <fgColor indexed="64"/>
          <bgColor theme="0"/>
        </patternFill>
      </fill>
      <border>
        <left/>
        <right/>
        <top/>
        <bottom/>
      </border>
    </dxf>
    <dxf>
      <font>
        <strike/>
        <u val="none"/>
        <color theme="0" tint="-0.14999847407452621"/>
      </font>
      <fill>
        <patternFill patternType="solid">
          <fgColor indexed="64"/>
          <bgColor theme="0"/>
        </patternFill>
      </fill>
      <border>
        <left/>
        <right/>
        <top/>
        <bottom/>
      </border>
    </dxf>
    <dxf>
      <font>
        <strike/>
        <u val="none"/>
        <color theme="0" tint="-0.14999847407452621"/>
      </font>
      <fill>
        <patternFill patternType="solid">
          <fgColor indexed="64"/>
          <bgColor theme="0"/>
        </patternFill>
      </fill>
      <border>
        <left/>
        <right/>
        <top/>
        <bottom/>
      </border>
    </dxf>
    <dxf>
      <font>
        <strike/>
        <u val="none"/>
        <color theme="0" tint="-0.14999847407452621"/>
      </font>
      <fill>
        <patternFill patternType="solid">
          <fgColor indexed="64"/>
          <bgColor theme="0"/>
        </patternFill>
      </fill>
      <border>
        <left/>
        <right/>
        <top/>
        <bottom/>
      </border>
    </dxf>
    <dxf>
      <font>
        <strike/>
        <u val="none"/>
        <color theme="0" tint="-0.14999847407452621"/>
      </font>
      <fill>
        <patternFill patternType="solid">
          <fgColor indexed="64"/>
          <bgColor theme="0"/>
        </patternFill>
      </fill>
      <border>
        <left/>
        <right/>
        <top/>
        <bottom/>
      </border>
    </dxf>
    <dxf>
      <font>
        <strike/>
        <color theme="5" tint="0.59999389629810485"/>
      </font>
      <fill>
        <patternFill patternType="solid">
          <fgColor indexed="64"/>
          <bgColor theme="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lgn="ctr" rtl="0">
              <a:defRPr sz="1800" b="1" i="0" u="none" strike="noStrike" baseline="0">
                <a:solidFill>
                  <a:srgbClr val="000000"/>
                </a:solidFill>
                <a:latin typeface="Calibri"/>
                <a:ea typeface="Calibri"/>
                <a:cs typeface="Calibri"/>
              </a:defRPr>
            </a:pPr>
            <a:r>
              <a:rPr lang="en-US"/>
              <a:t>% Rate Difference </a:t>
            </a:r>
          </a:p>
          <a:p>
            <a:pPr algn="ctr" rtl="0">
              <a:defRPr sz="1800" b="1" i="0" u="none" strike="noStrike" baseline="0">
                <a:solidFill>
                  <a:srgbClr val="000000"/>
                </a:solidFill>
                <a:latin typeface="Calibri"/>
                <a:ea typeface="Calibri"/>
                <a:cs typeface="Calibri"/>
              </a:defRPr>
            </a:pPr>
            <a:r>
              <a:rPr lang="en-US"/>
              <a:t>(Base Case - EE Case)</a:t>
            </a:r>
          </a:p>
        </c:rich>
      </c:tx>
      <c:layout>
        <c:manualLayout>
          <c:xMode val="edge"/>
          <c:yMode val="edge"/>
          <c:x val="0.27641674908609998"/>
          <c:y val="4.6296296296296302E-3"/>
        </c:manualLayout>
      </c:layout>
      <c:overlay val="0"/>
      <c:spPr>
        <a:noFill/>
        <a:ln w="25400">
          <a:noFill/>
        </a:ln>
      </c:spPr>
    </c:title>
    <c:autoTitleDeleted val="0"/>
    <c:plotArea>
      <c:layout>
        <c:manualLayout>
          <c:layoutTarget val="inner"/>
          <c:xMode val="edge"/>
          <c:yMode val="edge"/>
          <c:x val="0.100696257520204"/>
          <c:y val="0.218518518518519"/>
          <c:w val="0.85836060915702705"/>
          <c:h val="0.57698162729658797"/>
        </c:manualLayout>
      </c:layout>
      <c:barChart>
        <c:barDir val="col"/>
        <c:grouping val="clustered"/>
        <c:varyColors val="0"/>
        <c:ser>
          <c:idx val="0"/>
          <c:order val="0"/>
          <c:spPr>
            <a:solidFill>
              <a:srgbClr val="9BBB59"/>
            </a:solidFill>
          </c:spPr>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Calc'!$G$161:$AF$161</c:f>
              <c:numCache>
                <c:formatCode>0.00%</c:formatCode>
                <c:ptCount val="26"/>
                <c:pt idx="0">
                  <c:v>0</c:v>
                </c:pt>
                <c:pt idx="1">
                  <c:v>5.550555552039392E-3</c:v>
                </c:pt>
                <c:pt idx="2">
                  <c:v>6.7536898465704711E-3</c:v>
                </c:pt>
                <c:pt idx="3">
                  <c:v>7.8814886526759401E-3</c:v>
                </c:pt>
                <c:pt idx="4">
                  <c:v>8.9331776355787186E-3</c:v>
                </c:pt>
                <c:pt idx="5">
                  <c:v>9.9081756461389722E-3</c:v>
                </c:pt>
                <c:pt idx="6">
                  <c:v>1.0806077849844336E-2</c:v>
                </c:pt>
                <c:pt idx="7">
                  <c:v>1.1626634072986718E-2</c:v>
                </c:pt>
                <c:pt idx="8">
                  <c:v>1.2369722445604836E-2</c:v>
                </c:pt>
                <c:pt idx="9">
                  <c:v>1.3035318447448095E-2</c:v>
                </c:pt>
                <c:pt idx="10">
                  <c:v>1.3623459464733131E-2</c:v>
                </c:pt>
                <c:pt idx="11">
                  <c:v>1.1064998573403484E-2</c:v>
                </c:pt>
                <c:pt idx="12">
                  <c:v>1.077330920860658E-2</c:v>
                </c:pt>
                <c:pt idx="13">
                  <c:v>1.0486030808337541E-2</c:v>
                </c:pt>
                <c:pt idx="14">
                  <c:v>1.0203563963215567E-2</c:v>
                </c:pt>
                <c:pt idx="15">
                  <c:v>9.9262675117920383E-3</c:v>
                </c:pt>
                <c:pt idx="16">
                  <c:v>9.6544578966123416E-3</c:v>
                </c:pt>
                <c:pt idx="17">
                  <c:v>9.3884090948309403E-3</c:v>
                </c:pt>
                <c:pt idx="18">
                  <c:v>9.1283530782412456E-3</c:v>
                </c:pt>
                <c:pt idx="19">
                  <c:v>8.8744807497738512E-3</c:v>
                </c:pt>
                <c:pt idx="20">
                  <c:v>8.6269432980576703E-3</c:v>
                </c:pt>
                <c:pt idx="21">
                  <c:v>8.385853908473441E-3</c:v>
                </c:pt>
                <c:pt idx="22">
                  <c:v>8.1512897680317102E-3</c:v>
                </c:pt>
                <c:pt idx="23">
                  <c:v>7.923294302191651E-3</c:v>
                </c:pt>
                <c:pt idx="24">
                  <c:v>7.7018795840719401E-3</c:v>
                </c:pt>
                <c:pt idx="25">
                  <c:v>7.4870288601126831E-3</c:v>
                </c:pt>
              </c:numCache>
            </c:numRef>
          </c:val>
        </c:ser>
        <c:dLbls>
          <c:showLegendKey val="0"/>
          <c:showVal val="0"/>
          <c:showCatName val="0"/>
          <c:showSerName val="0"/>
          <c:showPercent val="0"/>
          <c:showBubbleSize val="0"/>
        </c:dLbls>
        <c:gapWidth val="150"/>
        <c:axId val="125715264"/>
        <c:axId val="125716384"/>
      </c:barChart>
      <c:dateAx>
        <c:axId val="12571526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Year</a:t>
                </a:r>
              </a:p>
            </c:rich>
          </c:tx>
          <c:overlay val="0"/>
          <c:spPr>
            <a:noFill/>
            <a:ln w="25400">
              <a:noFill/>
            </a:ln>
          </c:spPr>
        </c:title>
        <c:numFmt formatCode="General" sourceLinked="1"/>
        <c:majorTickMark val="out"/>
        <c:minorTickMark val="none"/>
        <c:tickLblPos val="nextTo"/>
        <c:spPr>
          <a:ln w="3175">
            <a:solidFill>
              <a:srgbClr val="808080"/>
            </a:solidFill>
            <a:prstDash val="solid"/>
          </a:ln>
        </c:spPr>
        <c:crossAx val="125716384"/>
        <c:crosses val="autoZero"/>
        <c:auto val="0"/>
        <c:lblOffset val="100"/>
        <c:baseTimeUnit val="days"/>
      </c:dateAx>
      <c:valAx>
        <c:axId val="125716384"/>
        <c:scaling>
          <c:orientation val="minMax"/>
        </c:scaling>
        <c:delete val="0"/>
        <c:axPos val="l"/>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571526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lgn="ctr" rtl="0">
              <a:defRPr sz="1800" b="1" i="0" u="none" strike="noStrike" baseline="0">
                <a:solidFill>
                  <a:srgbClr val="000000"/>
                </a:solidFill>
                <a:latin typeface="Calibri"/>
                <a:ea typeface="Calibri"/>
                <a:cs typeface="Calibri"/>
              </a:defRPr>
            </a:pPr>
            <a:r>
              <a:rPr lang="en-US"/>
              <a:t>% Avg Bill Difference Between Base and EE Case</a:t>
            </a:r>
          </a:p>
        </c:rich>
      </c:tx>
      <c:overlay val="0"/>
      <c:spPr>
        <a:noFill/>
        <a:ln w="25400">
          <a:noFill/>
        </a:ln>
      </c:spPr>
    </c:title>
    <c:autoTitleDeleted val="0"/>
    <c:plotArea>
      <c:layout/>
      <c:lineChart>
        <c:grouping val="standard"/>
        <c:varyColors val="0"/>
        <c:ser>
          <c:idx val="0"/>
          <c:order val="0"/>
          <c:tx>
            <c:v>Bill Change</c:v>
          </c:tx>
          <c:marker>
            <c:symbol val="none"/>
          </c:marker>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Calc'!$AM$196:$BL$196</c:f>
              <c:numCache>
                <c:formatCode>0.00%</c:formatCode>
                <c:ptCount val="26"/>
                <c:pt idx="0">
                  <c:v>0</c:v>
                </c:pt>
                <c:pt idx="1">
                  <c:v>-7.349555951609724E-4</c:v>
                </c:pt>
                <c:pt idx="2">
                  <c:v>-4.5558412651742104E-3</c:v>
                </c:pt>
                <c:pt idx="3">
                  <c:v>-8.5676766606701746E-3</c:v>
                </c:pt>
                <c:pt idx="4">
                  <c:v>-1.278618843250999E-2</c:v>
                </c:pt>
                <c:pt idx="5">
                  <c:v>-1.7227747458479017E-2</c:v>
                </c:pt>
                <c:pt idx="6">
                  <c:v>-2.1909380611263431E-2</c:v>
                </c:pt>
                <c:pt idx="7">
                  <c:v>-2.6848787137398029E-2</c:v>
                </c:pt>
                <c:pt idx="8">
                  <c:v>-3.2064360064315088E-2</c:v>
                </c:pt>
                <c:pt idx="9">
                  <c:v>-3.7575212972736922E-2</c:v>
                </c:pt>
                <c:pt idx="10">
                  <c:v>-4.340121239305559E-2</c:v>
                </c:pt>
                <c:pt idx="11">
                  <c:v>-4.4629023488736673E-2</c:v>
                </c:pt>
                <c:pt idx="12">
                  <c:v>-4.4972673845522282E-2</c:v>
                </c:pt>
                <c:pt idx="13">
                  <c:v>-4.5306657842570437E-2</c:v>
                </c:pt>
                <c:pt idx="14">
                  <c:v>-4.5630823961391828E-2</c:v>
                </c:pt>
                <c:pt idx="15">
                  <c:v>-4.594507405822261E-2</c:v>
                </c:pt>
                <c:pt idx="16">
                  <c:v>-4.6249360098759469E-2</c:v>
                </c:pt>
                <c:pt idx="17">
                  <c:v>-4.6543680619334976E-2</c:v>
                </c:pt>
                <c:pt idx="18">
                  <c:v>-4.682807699827362E-2</c:v>
                </c:pt>
                <c:pt idx="19">
                  <c:v>-4.7102629614966335E-2</c:v>
                </c:pt>
                <c:pt idx="20">
                  <c:v>-4.7367453966827774E-2</c:v>
                </c:pt>
                <c:pt idx="21">
                  <c:v>-4.76226968062195E-2</c:v>
                </c:pt>
                <c:pt idx="22">
                  <c:v>-4.7868532350928833E-2</c:v>
                </c:pt>
                <c:pt idx="23">
                  <c:v>-4.8105158613267335E-2</c:v>
                </c:pt>
                <c:pt idx="24">
                  <c:v>-4.8332793884507508E-2</c:v>
                </c:pt>
                <c:pt idx="25">
                  <c:v>-4.8551673403478289E-2</c:v>
                </c:pt>
              </c:numCache>
            </c:numRef>
          </c:val>
          <c:smooth val="0"/>
        </c:ser>
        <c:dLbls>
          <c:showLegendKey val="0"/>
          <c:showVal val="0"/>
          <c:showCatName val="0"/>
          <c:showSerName val="0"/>
          <c:showPercent val="0"/>
          <c:showBubbleSize val="0"/>
        </c:dLbls>
        <c:smooth val="0"/>
        <c:axId val="254309536"/>
        <c:axId val="254310096"/>
      </c:lineChart>
      <c:catAx>
        <c:axId val="254309536"/>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a:lstStyle/>
          <a:p>
            <a:pPr>
              <a:defRPr/>
            </a:pPr>
            <a:endParaRPr lang="en-US"/>
          </a:p>
        </c:txPr>
        <c:crossAx val="254310096"/>
        <c:crosses val="autoZero"/>
        <c:auto val="1"/>
        <c:lblAlgn val="ctr"/>
        <c:lblOffset val="100"/>
        <c:tickLblSkip val="2"/>
        <c:noMultiLvlLbl val="0"/>
      </c:catAx>
      <c:valAx>
        <c:axId val="254310096"/>
        <c:scaling>
          <c:orientation val="minMax"/>
        </c:scaling>
        <c:delete val="0"/>
        <c:axPos val="l"/>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430953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Bill Difference Breakdown</a:t>
            </a:r>
          </a:p>
        </c:rich>
      </c:tx>
      <c:overlay val="0"/>
    </c:title>
    <c:autoTitleDeleted val="0"/>
    <c:plotArea>
      <c:layout>
        <c:manualLayout>
          <c:layoutTarget val="inner"/>
          <c:xMode val="edge"/>
          <c:yMode val="edge"/>
          <c:x val="8.7894413616125294E-2"/>
          <c:y val="0.28556904345290202"/>
          <c:w val="0.87589388721952899"/>
          <c:h val="0.65424577136191298"/>
        </c:manualLayout>
      </c:layout>
      <c:lineChart>
        <c:grouping val="standard"/>
        <c:varyColors val="0"/>
        <c:ser>
          <c:idx val="0"/>
          <c:order val="0"/>
          <c:tx>
            <c:v>Participants</c:v>
          </c:tx>
          <c:spPr>
            <a:ln w="28575" cmpd="sng"/>
          </c:spPr>
          <c:marker>
            <c:symbol val="none"/>
          </c:marker>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Calc'!$AM$218:$BL$218</c:f>
              <c:numCache>
                <c:formatCode>0.00%</c:formatCode>
                <c:ptCount val="26"/>
                <c:pt idx="0">
                  <c:v>0</c:v>
                </c:pt>
                <c:pt idx="1">
                  <c:v>-0.24215293006369373</c:v>
                </c:pt>
                <c:pt idx="2">
                  <c:v>-0.23483351137785233</c:v>
                </c:pt>
                <c:pt idx="3">
                  <c:v>-0.22762450402654852</c:v>
                </c:pt>
                <c:pt idx="4">
                  <c:v>-0.22052562961662164</c:v>
                </c:pt>
                <c:pt idx="5">
                  <c:v>-0.21353611804818293</c:v>
                </c:pt>
                <c:pt idx="6">
                  <c:v>-0.20665476311871733</c:v>
                </c:pt>
                <c:pt idx="7">
                  <c:v>-0.19987997440099498</c:v>
                </c:pt>
                <c:pt idx="8">
                  <c:v>-0.19320982372940135</c:v>
                </c:pt>
                <c:pt idx="9">
                  <c:v>-0.18664208484560812</c:v>
                </c:pt>
                <c:pt idx="10">
                  <c:v>-0.18017426497866729</c:v>
                </c:pt>
                <c:pt idx="11">
                  <c:v>-0.18322761832269957</c:v>
                </c:pt>
                <c:pt idx="12">
                  <c:v>-0.18554336549632081</c:v>
                </c:pt>
                <c:pt idx="13">
                  <c:v>-0.18786961828498758</c:v>
                </c:pt>
                <c:pt idx="14">
                  <c:v>-0.19020643767266057</c:v>
                </c:pt>
                <c:pt idx="15">
                  <c:v>-0.1925539394707747</c:v>
                </c:pt>
                <c:pt idx="16">
                  <c:v>-0.19491229107256364</c:v>
                </c:pt>
                <c:pt idx="17">
                  <c:v>-0.19728170794156016</c:v>
                </c:pt>
                <c:pt idx="18">
                  <c:v>-0.19966244991713369</c:v>
                </c:pt>
                <c:pt idx="19">
                  <c:v>-0.20205481741369602</c:v>
                </c:pt>
                <c:pt idx="20">
                  <c:v>-0.20445914758284114</c:v>
                </c:pt>
                <c:pt idx="21">
                  <c:v>-0.20687581049961035</c:v>
                </c:pt>
                <c:pt idx="22">
                  <c:v>-0.20930520542562678</c:v>
                </c:pt>
                <c:pt idx="23">
                  <c:v>-0.21174775719337721</c:v>
                </c:pt>
                <c:pt idx="24">
                  <c:v>-0.21420391274762696</c:v>
                </c:pt>
                <c:pt idx="25">
                  <c:v>-0.21667413787213985</c:v>
                </c:pt>
              </c:numCache>
            </c:numRef>
          </c:val>
          <c:smooth val="0"/>
        </c:ser>
        <c:ser>
          <c:idx val="1"/>
          <c:order val="1"/>
          <c:tx>
            <c:v>Non-Partic</c:v>
          </c:tx>
          <c:spPr>
            <a:ln w="28575" cmpd="sng"/>
          </c:spPr>
          <c:marker>
            <c:symbol val="none"/>
          </c:marker>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Calc'!$AM$219:$BL$219</c:f>
              <c:numCache>
                <c:formatCode>0.00%</c:formatCode>
                <c:ptCount val="26"/>
                <c:pt idx="0">
                  <c:v>0</c:v>
                </c:pt>
                <c:pt idx="1">
                  <c:v>3.8185892844277316E-3</c:v>
                </c:pt>
                <c:pt idx="2">
                  <c:v>4.7247038253073366E-3</c:v>
                </c:pt>
                <c:pt idx="3">
                  <c:v>5.6284278269276636E-3</c:v>
                </c:pt>
                <c:pt idx="4">
                  <c:v>6.529981054733399E-3</c:v>
                </c:pt>
                <c:pt idx="5">
                  <c:v>7.4298006838495276E-3</c:v>
                </c:pt>
                <c:pt idx="6">
                  <c:v>8.3285521428233377E-3</c:v>
                </c:pt>
                <c:pt idx="7">
                  <c:v>9.2271396714617097E-3</c:v>
                </c:pt>
                <c:pt idx="8">
                  <c:v>1.0126716962458036E-2</c:v>
                </c:pt>
                <c:pt idx="9">
                  <c:v>1.1028698334910247E-2</c:v>
                </c:pt>
                <c:pt idx="10">
                  <c:v>1.193477097047202E-2</c:v>
                </c:pt>
                <c:pt idx="11">
                  <c:v>1.0653523558774188E-2</c:v>
                </c:pt>
                <c:pt idx="12">
                  <c:v>1.0307713895325846E-2</c:v>
                </c:pt>
                <c:pt idx="13">
                  <c:v>9.9716313296138951E-3</c:v>
                </c:pt>
                <c:pt idx="14">
                  <c:v>9.6454283321849646E-3</c:v>
                </c:pt>
                <c:pt idx="15">
                  <c:v>9.3292036634835436E-3</c:v>
                </c:pt>
                <c:pt idx="16">
                  <c:v>9.0230056596335758E-3</c:v>
                </c:pt>
                <c:pt idx="17">
                  <c:v>8.7268357934995357E-3</c:v>
                </c:pt>
                <c:pt idx="18">
                  <c:v>8.4406524267582553E-3</c:v>
                </c:pt>
                <c:pt idx="19">
                  <c:v>8.1643746749602147E-3</c:v>
                </c:pt>
                <c:pt idx="20">
                  <c:v>7.897886314969146E-3</c:v>
                </c:pt>
                <c:pt idx="21">
                  <c:v>7.6410396723140695E-3</c:v>
                </c:pt>
                <c:pt idx="22">
                  <c:v>7.3936594345201953E-3</c:v>
                </c:pt>
                <c:pt idx="23">
                  <c:v>7.1555463450774827E-3</c:v>
                </c:pt>
                <c:pt idx="24">
                  <c:v>6.9264807410932897E-3</c:v>
                </c:pt>
                <c:pt idx="25">
                  <c:v>6.7062259056290194E-3</c:v>
                </c:pt>
              </c:numCache>
            </c:numRef>
          </c:val>
          <c:smooth val="0"/>
        </c:ser>
        <c:ser>
          <c:idx val="2"/>
          <c:order val="2"/>
          <c:tx>
            <c:v>Total</c:v>
          </c:tx>
          <c:spPr>
            <a:ln w="28575" cmpd="sng"/>
          </c:spPr>
          <c:marker>
            <c:symbol val="none"/>
          </c:marker>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Calc'!$AM$196:$BL$196</c:f>
              <c:numCache>
                <c:formatCode>0.00%</c:formatCode>
                <c:ptCount val="26"/>
                <c:pt idx="0">
                  <c:v>0</c:v>
                </c:pt>
                <c:pt idx="1">
                  <c:v>-7.349555951609724E-4</c:v>
                </c:pt>
                <c:pt idx="2">
                  <c:v>-4.5558412651742104E-3</c:v>
                </c:pt>
                <c:pt idx="3">
                  <c:v>-8.5676766606701746E-3</c:v>
                </c:pt>
                <c:pt idx="4">
                  <c:v>-1.278618843250999E-2</c:v>
                </c:pt>
                <c:pt idx="5">
                  <c:v>-1.7227747458479017E-2</c:v>
                </c:pt>
                <c:pt idx="6">
                  <c:v>-2.1909380611263431E-2</c:v>
                </c:pt>
                <c:pt idx="7">
                  <c:v>-2.6848787137398029E-2</c:v>
                </c:pt>
                <c:pt idx="8">
                  <c:v>-3.2064360064315088E-2</c:v>
                </c:pt>
                <c:pt idx="9">
                  <c:v>-3.7575212972736922E-2</c:v>
                </c:pt>
                <c:pt idx="10">
                  <c:v>-4.340121239305559E-2</c:v>
                </c:pt>
                <c:pt idx="11">
                  <c:v>-4.4629023488736673E-2</c:v>
                </c:pt>
                <c:pt idx="12">
                  <c:v>-4.4972673845522282E-2</c:v>
                </c:pt>
                <c:pt idx="13">
                  <c:v>-4.5306657842570437E-2</c:v>
                </c:pt>
                <c:pt idx="14">
                  <c:v>-4.5630823961391828E-2</c:v>
                </c:pt>
                <c:pt idx="15">
                  <c:v>-4.594507405822261E-2</c:v>
                </c:pt>
                <c:pt idx="16">
                  <c:v>-4.6249360098759469E-2</c:v>
                </c:pt>
                <c:pt idx="17">
                  <c:v>-4.6543680619334976E-2</c:v>
                </c:pt>
                <c:pt idx="18">
                  <c:v>-4.682807699827362E-2</c:v>
                </c:pt>
                <c:pt idx="19">
                  <c:v>-4.7102629614966335E-2</c:v>
                </c:pt>
                <c:pt idx="20">
                  <c:v>-4.7367453966827774E-2</c:v>
                </c:pt>
                <c:pt idx="21">
                  <c:v>-4.76226968062195E-2</c:v>
                </c:pt>
                <c:pt idx="22">
                  <c:v>-4.7868532350928833E-2</c:v>
                </c:pt>
                <c:pt idx="23">
                  <c:v>-4.8105158613267335E-2</c:v>
                </c:pt>
                <c:pt idx="24">
                  <c:v>-4.8332793884507508E-2</c:v>
                </c:pt>
                <c:pt idx="25">
                  <c:v>-4.8551673403478289E-2</c:v>
                </c:pt>
              </c:numCache>
            </c:numRef>
          </c:val>
          <c:smooth val="0"/>
        </c:ser>
        <c:dLbls>
          <c:showLegendKey val="0"/>
          <c:showVal val="0"/>
          <c:showCatName val="0"/>
          <c:showSerName val="0"/>
          <c:showPercent val="0"/>
          <c:showBubbleSize val="0"/>
        </c:dLbls>
        <c:smooth val="0"/>
        <c:axId val="254440784"/>
        <c:axId val="254441344"/>
      </c:lineChart>
      <c:catAx>
        <c:axId val="254440784"/>
        <c:scaling>
          <c:orientation val="minMax"/>
        </c:scaling>
        <c:delete val="0"/>
        <c:axPos val="b"/>
        <c:numFmt formatCode="General" sourceLinked="1"/>
        <c:majorTickMark val="out"/>
        <c:minorTickMark val="none"/>
        <c:tickLblPos val="nextTo"/>
        <c:txPr>
          <a:bodyPr rot="-2700000"/>
          <a:lstStyle/>
          <a:p>
            <a:pPr>
              <a:defRPr/>
            </a:pPr>
            <a:endParaRPr lang="en-US"/>
          </a:p>
        </c:txPr>
        <c:crossAx val="254441344"/>
        <c:crosses val="autoZero"/>
        <c:auto val="1"/>
        <c:lblAlgn val="ctr"/>
        <c:lblOffset val="100"/>
        <c:tickLblSkip val="2"/>
        <c:noMultiLvlLbl val="0"/>
      </c:catAx>
      <c:valAx>
        <c:axId val="254441344"/>
        <c:scaling>
          <c:orientation val="minMax"/>
        </c:scaling>
        <c:delete val="0"/>
        <c:axPos val="l"/>
        <c:numFmt formatCode="0%" sourceLinked="0"/>
        <c:majorTickMark val="out"/>
        <c:minorTickMark val="none"/>
        <c:tickLblPos val="nextTo"/>
        <c:txPr>
          <a:bodyPr rot="0" vert="horz"/>
          <a:lstStyle/>
          <a:p>
            <a:pPr>
              <a:defRPr/>
            </a:pPr>
            <a:endParaRPr lang="en-US"/>
          </a:p>
        </c:txPr>
        <c:crossAx val="254440784"/>
        <c:crosses val="autoZero"/>
        <c:crossBetween val="between"/>
      </c:valAx>
    </c:plotArea>
    <c:legend>
      <c:legendPos val="t"/>
      <c:overlay val="0"/>
    </c:legend>
    <c:plotVisOnly val="1"/>
    <c:dispBlanksAs val="gap"/>
    <c:showDLblsOverMax val="0"/>
  </c:chart>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Participation</a:t>
            </a:r>
          </a:p>
        </c:rich>
      </c:tx>
      <c:overlay val="0"/>
    </c:title>
    <c:autoTitleDeleted val="0"/>
    <c:plotArea>
      <c:layout>
        <c:manualLayout>
          <c:layoutTarget val="inner"/>
          <c:xMode val="edge"/>
          <c:yMode val="edge"/>
          <c:x val="0.137163052948235"/>
          <c:y val="0.21135573580532999"/>
          <c:w val="0.660845484084844"/>
          <c:h val="0.62050090783843204"/>
        </c:manualLayout>
      </c:layout>
      <c:areaChart>
        <c:grouping val="stacked"/>
        <c:varyColors val="0"/>
        <c:ser>
          <c:idx val="1"/>
          <c:order val="0"/>
          <c:tx>
            <c:v>Non-Partic</c:v>
          </c:tx>
          <c:spPr>
            <a:solidFill>
              <a:schemeClr val="accent2"/>
            </a:solidFill>
            <a:ln w="25400" cap="flat" cmpd="sng" algn="ctr">
              <a:solidFill>
                <a:schemeClr val="accent2">
                  <a:shade val="50000"/>
                </a:schemeClr>
              </a:solidFill>
              <a:prstDash val="solid"/>
            </a:ln>
            <a:effectLst/>
          </c:spPr>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Calc'!$AM$200:$BL$200</c:f>
              <c:numCache>
                <c:formatCode>_(* #,##0_);_(* \(#,##0\);_(* "-"??_);_(@_)</c:formatCode>
                <c:ptCount val="26"/>
                <c:pt idx="0">
                  <c:v>305540</c:v>
                </c:pt>
                <c:pt idx="1">
                  <c:v>302942.50799999997</c:v>
                </c:pt>
                <c:pt idx="2">
                  <c:v>299725.40838159993</c:v>
                </c:pt>
                <c:pt idx="3">
                  <c:v>295814.7662422923</c:v>
                </c:pt>
                <c:pt idx="4">
                  <c:v>291128.18444441643</c:v>
                </c:pt>
                <c:pt idx="5">
                  <c:v>285573.83857705788</c:v>
                </c:pt>
                <c:pt idx="6">
                  <c:v>279049.40190010145</c:v>
                </c:pt>
                <c:pt idx="7">
                  <c:v>271440.84772836958</c:v>
                </c:pt>
                <c:pt idx="8">
                  <c:v>262621.11528397922</c:v>
                </c:pt>
                <c:pt idx="9">
                  <c:v>252448.62345225707</c:v>
                </c:pt>
                <c:pt idx="10">
                  <c:v>240765.61510218275</c:v>
                </c:pt>
                <c:pt idx="11">
                  <c:v>244215.00182853299</c:v>
                </c:pt>
                <c:pt idx="12">
                  <c:v>247699.57229949199</c:v>
                </c:pt>
                <c:pt idx="13">
                  <c:v>251219.6853892548</c:v>
                </c:pt>
                <c:pt idx="14">
                  <c:v>254775.70363253317</c:v>
                </c:pt>
                <c:pt idx="15">
                  <c:v>258367.99326189302</c:v>
                </c:pt>
                <c:pt idx="16">
                  <c:v>261996.92424547233</c:v>
                </c:pt>
                <c:pt idx="17">
                  <c:v>265662.87032508419</c:v>
                </c:pt>
                <c:pt idx="18">
                  <c:v>269366.20905470802</c:v>
                </c:pt>
                <c:pt idx="19">
                  <c:v>273107.32183937402</c:v>
                </c:pt>
                <c:pt idx="20">
                  <c:v>276886.59397444362</c:v>
                </c:pt>
                <c:pt idx="21">
                  <c:v>280704.41468529089</c:v>
                </c:pt>
                <c:pt idx="22">
                  <c:v>284561.17716738884</c:v>
                </c:pt>
                <c:pt idx="23">
                  <c:v>288457.27862680424</c:v>
                </c:pt>
                <c:pt idx="24">
                  <c:v>292393.12032110558</c:v>
                </c:pt>
                <c:pt idx="25">
                  <c:v>296369.10760068893</c:v>
                </c:pt>
              </c:numCache>
            </c:numRef>
          </c:val>
        </c:ser>
        <c:ser>
          <c:idx val="0"/>
          <c:order val="1"/>
          <c:tx>
            <c:v>Participants</c:v>
          </c:tx>
          <c:spPr>
            <a:solidFill>
              <a:schemeClr val="accent1"/>
            </a:solidFill>
            <a:ln w="25400" cap="flat" cmpd="sng" algn="ctr">
              <a:solidFill>
                <a:schemeClr val="accent1">
                  <a:shade val="50000"/>
                </a:schemeClr>
              </a:solidFill>
              <a:prstDash val="solid"/>
            </a:ln>
            <a:effectLst/>
          </c:spPr>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Calc'!$AM$198:$BL$198</c:f>
              <c:numCache>
                <c:formatCode>_(* #,##0_);_(* \(#,##0\);_(* "-"??_);_(@_)</c:formatCode>
                <c:ptCount val="26"/>
                <c:pt idx="0">
                  <c:v>0</c:v>
                </c:pt>
                <c:pt idx="1">
                  <c:v>5714</c:v>
                </c:pt>
                <c:pt idx="2">
                  <c:v>12079.396000000001</c:v>
                </c:pt>
                <c:pt idx="3">
                  <c:v>19170.447144000002</c:v>
                </c:pt>
                <c:pt idx="4">
                  <c:v>27069.878118416003</c:v>
                </c:pt>
                <c:pt idx="5">
                  <c:v>35869.844223915432</c:v>
                </c:pt>
                <c:pt idx="6">
                  <c:v>45673.006465441795</c:v>
                </c:pt>
                <c:pt idx="7">
                  <c:v>56593.72920250216</c:v>
                </c:pt>
                <c:pt idx="8">
                  <c:v>68759.41433158741</c:v>
                </c:pt>
                <c:pt idx="9">
                  <c:v>82311.987565388379</c:v>
                </c:pt>
                <c:pt idx="10">
                  <c:v>97409.55414784266</c:v>
                </c:pt>
                <c:pt idx="11">
                  <c:v>97409.55414784266</c:v>
                </c:pt>
                <c:pt idx="12">
                  <c:v>97409.55414784266</c:v>
                </c:pt>
                <c:pt idx="13">
                  <c:v>97409.55414784266</c:v>
                </c:pt>
                <c:pt idx="14">
                  <c:v>97409.55414784266</c:v>
                </c:pt>
                <c:pt idx="15">
                  <c:v>97409.55414784266</c:v>
                </c:pt>
                <c:pt idx="16">
                  <c:v>97409.55414784266</c:v>
                </c:pt>
                <c:pt idx="17">
                  <c:v>97409.55414784266</c:v>
                </c:pt>
                <c:pt idx="18">
                  <c:v>97409.55414784266</c:v>
                </c:pt>
                <c:pt idx="19">
                  <c:v>97409.55414784266</c:v>
                </c:pt>
                <c:pt idx="20">
                  <c:v>97409.55414784266</c:v>
                </c:pt>
                <c:pt idx="21">
                  <c:v>97409.55414784266</c:v>
                </c:pt>
                <c:pt idx="22">
                  <c:v>97409.55414784266</c:v>
                </c:pt>
                <c:pt idx="23">
                  <c:v>97409.55414784266</c:v>
                </c:pt>
                <c:pt idx="24">
                  <c:v>97409.55414784266</c:v>
                </c:pt>
                <c:pt idx="25">
                  <c:v>97409.55414784266</c:v>
                </c:pt>
              </c:numCache>
            </c:numRef>
          </c:val>
        </c:ser>
        <c:dLbls>
          <c:showLegendKey val="0"/>
          <c:showVal val="0"/>
          <c:showCatName val="0"/>
          <c:showSerName val="0"/>
          <c:showPercent val="0"/>
          <c:showBubbleSize val="0"/>
        </c:dLbls>
        <c:axId val="254444704"/>
        <c:axId val="254445264"/>
      </c:areaChart>
      <c:catAx>
        <c:axId val="254444704"/>
        <c:scaling>
          <c:orientation val="minMax"/>
        </c:scaling>
        <c:delete val="0"/>
        <c:axPos val="b"/>
        <c:numFmt formatCode="General" sourceLinked="1"/>
        <c:majorTickMark val="out"/>
        <c:minorTickMark val="none"/>
        <c:tickLblPos val="nextTo"/>
        <c:crossAx val="254445264"/>
        <c:crosses val="autoZero"/>
        <c:auto val="1"/>
        <c:lblAlgn val="ctr"/>
        <c:lblOffset val="100"/>
        <c:noMultiLvlLbl val="0"/>
      </c:catAx>
      <c:valAx>
        <c:axId val="254445264"/>
        <c:scaling>
          <c:orientation val="minMax"/>
        </c:scaling>
        <c:delete val="0"/>
        <c:axPos val="l"/>
        <c:numFmt formatCode="#,##0" sourceLinked="0"/>
        <c:majorTickMark val="out"/>
        <c:minorTickMark val="none"/>
        <c:tickLblPos val="nextTo"/>
        <c:txPr>
          <a:bodyPr rot="0" vert="horz"/>
          <a:lstStyle/>
          <a:p>
            <a:pPr>
              <a:defRPr/>
            </a:pPr>
            <a:endParaRPr lang="en-US"/>
          </a:p>
        </c:txPr>
        <c:crossAx val="254444704"/>
        <c:crosses val="autoZero"/>
        <c:crossBetween val="midCat"/>
      </c:valAx>
    </c:plotArea>
    <c:legend>
      <c:legendPos val="r"/>
      <c:layout>
        <c:manualLayout>
          <c:xMode val="edge"/>
          <c:yMode val="edge"/>
          <c:x val="0.80022904235091696"/>
          <c:y val="0.480928458681946"/>
          <c:w val="0.18275172327359299"/>
          <c:h val="0.17491805550631501"/>
        </c:manualLayout>
      </c:layout>
      <c:overlay val="0"/>
    </c:legend>
    <c:plotVisOnly val="1"/>
    <c:dispBlanksAs val="gap"/>
    <c:showDLblsOverMax val="0"/>
  </c:chart>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'Customer Calc'!$B$176</c:f>
              <c:strCache>
                <c:ptCount val="1"/>
                <c:pt idx="0">
                  <c:v>Levelized Cost of Energy</c:v>
                </c:pt>
              </c:strCache>
            </c:strRef>
          </c:tx>
          <c:invertIfNegative val="0"/>
          <c:cat>
            <c:numRef>
              <c:f>'Customer Calc'!$G$6:$Q$6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'Customer Calc'!$G$176:$Q$176</c:f>
              <c:numCache>
                <c:formatCode>_("$"* #,##0.000_);_("$"* \(#,##0.000\);_("$"* "-"??_);_(@_)</c:formatCode>
                <c:ptCount val="11"/>
                <c:pt idx="0">
                  <c:v>0</c:v>
                </c:pt>
                <c:pt idx="1">
                  <c:v>4.8268732640484036E-2</c:v>
                </c:pt>
                <c:pt idx="2">
                  <c:v>4.9286994683603785E-2</c:v>
                </c:pt>
                <c:pt idx="3">
                  <c:v>5.0327031804719084E-2</c:v>
                </c:pt>
                <c:pt idx="4">
                  <c:v>5.1389315899305177E-2</c:v>
                </c:pt>
                <c:pt idx="5">
                  <c:v>5.247432922025818E-2</c:v>
                </c:pt>
                <c:pt idx="6">
                  <c:v>5.3582564607928949E-2</c:v>
                </c:pt>
                <c:pt idx="7">
                  <c:v>5.4714525725321067E-2</c:v>
                </c:pt>
                <c:pt idx="8">
                  <c:v>5.58707272985699E-2</c:v>
                </c:pt>
                <c:pt idx="9">
                  <c:v>5.7051695362822695E-2</c:v>
                </c:pt>
                <c:pt idx="10">
                  <c:v>5.8257967513641908E-2</c:v>
                </c:pt>
              </c:numCache>
            </c:numRef>
          </c:val>
        </c:ser>
        <c:dLbls>
          <c:showLegendKey val="0"/>
          <c:showVal val="0"/>
          <c:showCatName val="0"/>
          <c:showSerName val="0"/>
          <c:showPercent val="0"/>
          <c:showBubbleSize val="0"/>
        </c:dLbls>
        <c:gapWidth val="150"/>
        <c:axId val="254666288"/>
        <c:axId val="254666848"/>
      </c:barChart>
      <c:catAx>
        <c:axId val="254666288"/>
        <c:scaling>
          <c:orientation val="minMax"/>
        </c:scaling>
        <c:delete val="0"/>
        <c:axPos val="b"/>
        <c:numFmt formatCode="General" sourceLinked="1"/>
        <c:majorTickMark val="out"/>
        <c:minorTickMark val="none"/>
        <c:tickLblPos val="nextTo"/>
        <c:txPr>
          <a:bodyPr rot="-2700000" lIns="2">
            <a:spAutoFit/>
          </a:bodyPr>
          <a:lstStyle/>
          <a:p>
            <a:pPr>
              <a:defRPr/>
            </a:pPr>
            <a:endParaRPr lang="en-US"/>
          </a:p>
        </c:txPr>
        <c:crossAx val="254666848"/>
        <c:crosses val="autoZero"/>
        <c:auto val="1"/>
        <c:lblAlgn val="ctr"/>
        <c:lblOffset val="100"/>
        <c:noMultiLvlLbl val="0"/>
      </c:catAx>
      <c:valAx>
        <c:axId val="254666848"/>
        <c:scaling>
          <c:orientation val="minMax"/>
        </c:scaling>
        <c:delete val="0"/>
        <c:axPos val="l"/>
        <c:majorGridlines/>
        <c:numFmt formatCode="_(&quot;$&quot;* #,##0.000_);_(&quot;$&quot;* \(#,##0.000\);_(&quot;$&quot;* &quot;-&quot;??_);_(@_)" sourceLinked="1"/>
        <c:majorTickMark val="out"/>
        <c:minorTickMark val="none"/>
        <c:tickLblPos val="nextTo"/>
        <c:crossAx val="254666288"/>
        <c:crosses val="autoZero"/>
        <c:crossBetween val="between"/>
      </c:valAx>
    </c:plotArea>
    <c:plotVisOnly val="1"/>
    <c:dispBlanksAs val="gap"/>
    <c:showDLblsOverMax val="0"/>
  </c:chart>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'Customer Calc'!$AH$177</c:f>
              <c:strCache>
                <c:ptCount val="1"/>
                <c:pt idx="0">
                  <c:v>Levelized Cost of Energy</c:v>
                </c:pt>
              </c:strCache>
            </c:strRef>
          </c:tx>
          <c:invertIfNegative val="0"/>
          <c:cat>
            <c:numRef>
              <c:f>'Customer Calc'!$AM$6:$AW$6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'Customer Calc'!$AM$177:$AW$177</c:f>
              <c:numCache>
                <c:formatCode>_("$"* #,##0.000_);_("$"* \(#,##0.000\);_("$"* "-"??_);_(@_)</c:formatCode>
                <c:ptCount val="11"/>
                <c:pt idx="0">
                  <c:v>0</c:v>
                </c:pt>
                <c:pt idx="1">
                  <c:v>7.180272258812701E-3</c:v>
                </c:pt>
                <c:pt idx="2">
                  <c:v>6.9245549712448626E-3</c:v>
                </c:pt>
                <c:pt idx="3">
                  <c:v>6.6779447660833781E-3</c:v>
                </c:pt>
                <c:pt idx="4">
                  <c:v>6.4401173048732833E-3</c:v>
                </c:pt>
                <c:pt idx="5">
                  <c:v>6.2107598001074132E-3</c:v>
                </c:pt>
                <c:pt idx="6">
                  <c:v>5.9895706038524182E-3</c:v>
                </c:pt>
                <c:pt idx="7">
                  <c:v>5.7762588110254302E-3</c:v>
                </c:pt>
                <c:pt idx="8">
                  <c:v>5.5705438767995955E-3</c:v>
                </c:pt>
                <c:pt idx="9">
                  <c:v>5.3721552476352231E-3</c:v>
                </c:pt>
                <c:pt idx="10">
                  <c:v>5.1808320054514013E-3</c:v>
                </c:pt>
              </c:numCache>
            </c:numRef>
          </c:val>
        </c:ser>
        <c:dLbls>
          <c:showLegendKey val="0"/>
          <c:showVal val="0"/>
          <c:showCatName val="0"/>
          <c:showSerName val="0"/>
          <c:showPercent val="0"/>
          <c:showBubbleSize val="0"/>
        </c:dLbls>
        <c:gapWidth val="150"/>
        <c:axId val="254669088"/>
        <c:axId val="254912528"/>
      </c:barChart>
      <c:catAx>
        <c:axId val="254669088"/>
        <c:scaling>
          <c:orientation val="minMax"/>
        </c:scaling>
        <c:delete val="0"/>
        <c:axPos val="b"/>
        <c:numFmt formatCode="General" sourceLinked="1"/>
        <c:majorTickMark val="out"/>
        <c:minorTickMark val="none"/>
        <c:tickLblPos val="nextTo"/>
        <c:txPr>
          <a:bodyPr rot="-2700000"/>
          <a:lstStyle/>
          <a:p>
            <a:pPr>
              <a:defRPr/>
            </a:pPr>
            <a:endParaRPr lang="en-US"/>
          </a:p>
        </c:txPr>
        <c:crossAx val="254912528"/>
        <c:crosses val="autoZero"/>
        <c:auto val="1"/>
        <c:lblAlgn val="ctr"/>
        <c:lblOffset val="100"/>
        <c:noMultiLvlLbl val="0"/>
      </c:catAx>
      <c:valAx>
        <c:axId val="254912528"/>
        <c:scaling>
          <c:orientation val="minMax"/>
        </c:scaling>
        <c:delete val="0"/>
        <c:axPos val="l"/>
        <c:majorGridlines/>
        <c:numFmt formatCode="_(&quot;$&quot;* #,##0.000_);_(&quot;$&quot;* \(#,##0.000\);_(&quot;$&quot;* &quot;-&quot;??_);_(@_)" sourceLinked="1"/>
        <c:majorTickMark val="out"/>
        <c:minorTickMark val="none"/>
        <c:tickLblPos val="nextTo"/>
        <c:crossAx val="254669088"/>
        <c:crosses val="autoZero"/>
        <c:crossBetween val="between"/>
      </c:valAx>
    </c:plotArea>
    <c:plotVisOnly val="1"/>
    <c:dispBlanksAs val="gap"/>
    <c:showDLblsOverMax val="0"/>
  </c:chart>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 Rate Difference</a:t>
            </a:r>
          </a:p>
          <a:p>
            <a:pPr>
              <a:defRPr/>
            </a:pPr>
            <a:r>
              <a:rPr lang="en-US"/>
              <a:t>(Base Case - EE Case)</a:t>
            </a:r>
          </a:p>
        </c:rich>
      </c:tx>
      <c:overlay val="0"/>
    </c:title>
    <c:autoTitleDeleted val="0"/>
    <c:plotArea>
      <c:layout/>
      <c:barChart>
        <c:barDir val="col"/>
        <c:grouping val="clustered"/>
        <c:varyColors val="0"/>
        <c:ser>
          <c:idx val="0"/>
          <c:order val="0"/>
          <c:invertIfNegative val="0"/>
          <c:cat>
            <c:numRef>
              <c:f>'Customer Calc'!$BR$6:$CQ$6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Calc'!$BR$13:$CQ$13</c:f>
              <c:numCache>
                <c:formatCode>0.00%</c:formatCode>
                <c:ptCount val="26"/>
                <c:pt idx="0">
                  <c:v>0</c:v>
                </c:pt>
                <c:pt idx="1">
                  <c:v>5.3086580008804085E-3</c:v>
                </c:pt>
                <c:pt idx="2">
                  <c:v>6.4927046480437265E-3</c:v>
                </c:pt>
                <c:pt idx="3">
                  <c:v>7.6367179721012054E-3</c:v>
                </c:pt>
                <c:pt idx="4">
                  <c:v>8.7412334509453446E-3</c:v>
                </c:pt>
                <c:pt idx="5">
                  <c:v>9.8070075402917761E-3</c:v>
                </c:pt>
                <c:pt idx="6">
                  <c:v>1.0835003485782582E-2</c:v>
                </c:pt>
                <c:pt idx="7">
                  <c:v>1.1826375531982406E-2</c:v>
                </c:pt>
                <c:pt idx="8">
                  <c:v>1.278245179191001E-2</c:v>
                </c:pt>
                <c:pt idx="9">
                  <c:v>1.370471601955763E-2</c:v>
                </c:pt>
                <c:pt idx="10">
                  <c:v>1.4594788495056483E-2</c:v>
                </c:pt>
                <c:pt idx="11">
                  <c:v>1.2601193569233147E-2</c:v>
                </c:pt>
                <c:pt idx="12">
                  <c:v>1.2153823417316018E-2</c:v>
                </c:pt>
                <c:pt idx="13">
                  <c:v>1.1722559616909531E-2</c:v>
                </c:pt>
                <c:pt idx="14">
                  <c:v>1.1307180656066449E-2</c:v>
                </c:pt>
                <c:pt idx="15">
                  <c:v>1.0907422020940303E-2</c:v>
                </c:pt>
                <c:pt idx="16">
                  <c:v>1.0522981348337764E-2</c:v>
                </c:pt>
                <c:pt idx="17">
                  <c:v>1.0153523400043855E-2</c:v>
                </c:pt>
                <c:pt idx="18">
                  <c:v>9.7986848237259245E-3</c:v>
                </c:pt>
                <c:pt idx="19">
                  <c:v>9.4580786726287547E-3</c:v>
                </c:pt>
                <c:pt idx="20">
                  <c:v>9.1312986630254275E-3</c:v>
                </c:pt>
                <c:pt idx="21">
                  <c:v>8.817923154480831E-3</c:v>
                </c:pt>
                <c:pt idx="22">
                  <c:v>8.51751884343252E-3</c:v>
                </c:pt>
                <c:pt idx="23">
                  <c:v>8.2296441654156147E-3</c:v>
                </c:pt>
                <c:pt idx="24">
                  <c:v>7.9538524054760633E-3</c:v>
                </c:pt>
                <c:pt idx="25">
                  <c:v>7.6896945199476461E-3</c:v>
                </c:pt>
              </c:numCache>
            </c:numRef>
          </c:val>
        </c:ser>
        <c:dLbls>
          <c:showLegendKey val="0"/>
          <c:showVal val="0"/>
          <c:showCatName val="0"/>
          <c:showSerName val="0"/>
          <c:showPercent val="0"/>
          <c:showBubbleSize val="0"/>
        </c:dLbls>
        <c:gapWidth val="150"/>
        <c:axId val="254914768"/>
        <c:axId val="254915328"/>
      </c:barChart>
      <c:catAx>
        <c:axId val="254914768"/>
        <c:scaling>
          <c:orientation val="minMax"/>
        </c:scaling>
        <c:delete val="0"/>
        <c:axPos val="b"/>
        <c:numFmt formatCode="General" sourceLinked="1"/>
        <c:majorTickMark val="out"/>
        <c:minorTickMark val="none"/>
        <c:tickLblPos val="nextTo"/>
        <c:txPr>
          <a:bodyPr rot="-2700000"/>
          <a:lstStyle/>
          <a:p>
            <a:pPr>
              <a:defRPr/>
            </a:pPr>
            <a:endParaRPr lang="en-US"/>
          </a:p>
        </c:txPr>
        <c:crossAx val="254915328"/>
        <c:crosses val="autoZero"/>
        <c:auto val="1"/>
        <c:lblAlgn val="ctr"/>
        <c:lblOffset val="100"/>
        <c:noMultiLvlLbl val="0"/>
      </c:catAx>
      <c:valAx>
        <c:axId val="254915328"/>
        <c:scaling>
          <c:orientation val="minMax"/>
        </c:scaling>
        <c:delete val="0"/>
        <c:axPos val="l"/>
        <c:numFmt formatCode="0.0%" sourceLinked="0"/>
        <c:majorTickMark val="out"/>
        <c:minorTickMark val="none"/>
        <c:tickLblPos val="nextTo"/>
        <c:crossAx val="254914768"/>
        <c:crosses val="autoZero"/>
        <c:crossBetween val="between"/>
      </c:valAx>
    </c:plotArea>
    <c:plotVisOnly val="1"/>
    <c:dispBlanksAs val="gap"/>
    <c:showDLblsOverMax val="0"/>
  </c:chart>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Rate Comparison</a:t>
            </a:r>
          </a:p>
        </c:rich>
      </c:tx>
      <c:overlay val="0"/>
    </c:title>
    <c:autoTitleDeleted val="0"/>
    <c:plotArea>
      <c:layout/>
      <c:barChart>
        <c:barDir val="col"/>
        <c:grouping val="clustered"/>
        <c:varyColors val="0"/>
        <c:ser>
          <c:idx val="0"/>
          <c:order val="0"/>
          <c:tx>
            <c:v>Base Case</c:v>
          </c:tx>
          <c:invertIfNegative val="0"/>
          <c:cat>
            <c:numRef>
              <c:f>'Customer Calc'!$BR$6:$CQ$6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Calc'!$BR$15:$CQ$15</c:f>
              <c:numCache>
                <c:formatCode>_("$"* #,##0.00_);_("$"* \(#,##0.00\);_("$"* "-"??_);_(@_)</c:formatCode>
                <c:ptCount val="26"/>
                <c:pt idx="0">
                  <c:v>8.0266867776096512E-2</c:v>
                </c:pt>
                <c:pt idx="1">
                  <c:v>8.3886717474386474E-2</c:v>
                </c:pt>
                <c:pt idx="2">
                  <c:v>8.6966819349808849E-2</c:v>
                </c:pt>
                <c:pt idx="3">
                  <c:v>9.0260561268937084E-2</c:v>
                </c:pt>
                <c:pt idx="4">
                  <c:v>9.3781396198101732E-2</c:v>
                </c:pt>
                <c:pt idx="5">
                  <c:v>9.7543656980153992E-2</c:v>
                </c:pt>
                <c:pt idx="6">
                  <c:v>0.10156261583314803</c:v>
                </c:pt>
                <c:pt idx="7">
                  <c:v>0.10585454817260814</c:v>
                </c:pt>
                <c:pt idx="8">
                  <c:v>0.1104368011212627</c:v>
                </c:pt>
                <c:pt idx="9">
                  <c:v>0.11532786710977491</c:v>
                </c:pt>
                <c:pt idx="10">
                  <c:v>0.12054746301762737</c:v>
                </c:pt>
                <c:pt idx="11">
                  <c:v>0.12603538286599844</c:v>
                </c:pt>
                <c:pt idx="12">
                  <c:v>0.13188544889398765</c:v>
                </c:pt>
                <c:pt idx="13">
                  <c:v>0.13812040199990999</c:v>
                </c:pt>
                <c:pt idx="14">
                  <c:v>0.14476442967611663</c:v>
                </c:pt>
                <c:pt idx="15">
                  <c:v>0.15184325831684642</c:v>
                </c:pt>
                <c:pt idx="16">
                  <c:v>0.1593842514337209</c:v>
                </c:pt>
                <c:pt idx="17">
                  <c:v>0.1674165141578286</c:v>
                </c:pt>
                <c:pt idx="18">
                  <c:v>0.17597100443172681</c:v>
                </c:pt>
                <c:pt idx="19">
                  <c:v>0.18508065132064358</c:v>
                </c:pt>
                <c:pt idx="20">
                  <c:v>0.19478048089979594</c:v>
                </c:pt>
                <c:pt idx="21">
                  <c:v>0.20510775020415539</c:v>
                </c:pt>
                <c:pt idx="22">
                  <c:v>0.21610208975830933</c:v>
                </c:pt>
                <c:pt idx="23">
                  <c:v>0.22780565523740146</c:v>
                </c:pt>
                <c:pt idx="24">
                  <c:v>0.24026328884562687</c:v>
                </c:pt>
                <c:pt idx="25">
                  <c:v>0.25352269103653241</c:v>
                </c:pt>
              </c:numCache>
            </c:numRef>
          </c:val>
        </c:ser>
        <c:ser>
          <c:idx val="1"/>
          <c:order val="1"/>
          <c:tx>
            <c:v>w/ EE</c:v>
          </c:tx>
          <c:invertIfNegative val="0"/>
          <c:cat>
            <c:numRef>
              <c:f>'Customer Calc'!$BR$6:$CQ$6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Calc'!$BR$16:$CQ$16</c:f>
              <c:numCache>
                <c:formatCode>_("$"* #,##0.00_);_("$"* \(#,##0.00\);_("$"* "-"??_);_(@_)</c:formatCode>
                <c:ptCount val="26"/>
                <c:pt idx="0">
                  <c:v>8.0266867776096512E-2</c:v>
                </c:pt>
                <c:pt idx="1">
                  <c:v>8.4336619630426365E-2</c:v>
                </c:pt>
                <c:pt idx="2">
                  <c:v>8.7536450641308369E-2</c:v>
                </c:pt>
                <c:pt idx="3">
                  <c:v>9.0954573615958045E-2</c:v>
                </c:pt>
                <c:pt idx="4">
                  <c:v>9.4604900851789533E-2</c:v>
                </c:pt>
                <c:pt idx="5">
                  <c:v>9.8502262559476902E-2</c:v>
                </c:pt>
                <c:pt idx="6">
                  <c:v>0.10266246967561164</c:v>
                </c:pt>
                <c:pt idx="7">
                  <c:v>0.107102381247555</c:v>
                </c:pt>
                <c:pt idx="8">
                  <c:v>0.11183997675649929</c:v>
                </c:pt>
                <c:pt idx="9">
                  <c:v>0.11689443377736321</c:v>
                </c:pt>
                <c:pt idx="10">
                  <c:v>0.12228621140961179</c:v>
                </c:pt>
                <c:pt idx="11">
                  <c:v>0.12759050294806609</c:v>
                </c:pt>
                <c:pt idx="12">
                  <c:v>0.13345818248265287</c:v>
                </c:pt>
                <c:pt idx="13">
                  <c:v>0.1397120582982003</c:v>
                </c:pt>
                <c:pt idx="14">
                  <c:v>0.14637637340066109</c:v>
                </c:pt>
                <c:pt idx="15">
                  <c:v>0.15347691211822295</c:v>
                </c:pt>
                <c:pt idx="16">
                  <c:v>0.16104109840942987</c:v>
                </c:pt>
                <c:pt idx="17">
                  <c:v>0.16909810046044388</c:v>
                </c:pt>
                <c:pt idx="18">
                  <c:v>0.17767894197475101</c:v>
                </c:pt>
                <c:pt idx="19">
                  <c:v>0.18681662058456056</c:v>
                </c:pt>
                <c:pt idx="20">
                  <c:v>0.19654623384076922</c:v>
                </c:pt>
                <c:pt idx="21">
                  <c:v>0.20690511326776212</c:v>
                </c:pt>
                <c:pt idx="22">
                  <c:v>0.21793296700062684</c:v>
                </c:pt>
                <c:pt idx="23">
                  <c:v>0.22967203155567381</c:v>
                </c:pt>
                <c:pt idx="24">
                  <c:v>0.24216723332063542</c:v>
                </c:pt>
                <c:pt idx="25">
                  <c:v>0.25546636038866605</c:v>
                </c:pt>
              </c:numCache>
            </c:numRef>
          </c:val>
        </c:ser>
        <c:dLbls>
          <c:showLegendKey val="0"/>
          <c:showVal val="0"/>
          <c:showCatName val="0"/>
          <c:showSerName val="0"/>
          <c:showPercent val="0"/>
          <c:showBubbleSize val="0"/>
        </c:dLbls>
        <c:gapWidth val="150"/>
        <c:axId val="254918128"/>
        <c:axId val="254918688"/>
      </c:barChart>
      <c:catAx>
        <c:axId val="254918128"/>
        <c:scaling>
          <c:orientation val="minMax"/>
        </c:scaling>
        <c:delete val="0"/>
        <c:axPos val="b"/>
        <c:numFmt formatCode="General" sourceLinked="1"/>
        <c:majorTickMark val="out"/>
        <c:minorTickMark val="none"/>
        <c:tickLblPos val="nextTo"/>
        <c:crossAx val="254918688"/>
        <c:crosses val="autoZero"/>
        <c:auto val="1"/>
        <c:lblAlgn val="ctr"/>
        <c:lblOffset val="100"/>
        <c:noMultiLvlLbl val="0"/>
      </c:catAx>
      <c:valAx>
        <c:axId val="254918688"/>
        <c:scaling>
          <c:orientation val="minMax"/>
        </c:scaling>
        <c:delete val="0"/>
        <c:axPos val="l"/>
        <c:numFmt formatCode="_(&quot;$&quot;* #,##0.00_);_(&quot;$&quot;* \(#,##0.00\);_(&quot;$&quot;* &quot;-&quot;??_);_(@_)" sourceLinked="1"/>
        <c:majorTickMark val="out"/>
        <c:minorTickMark val="none"/>
        <c:tickLblPos val="nextTo"/>
        <c:crossAx val="254918128"/>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Rate Breakdown</a:t>
            </a:r>
          </a:p>
        </c:rich>
      </c:tx>
      <c:overlay val="0"/>
    </c:title>
    <c:autoTitleDeleted val="0"/>
    <c:plotArea>
      <c:layout>
        <c:manualLayout>
          <c:layoutTarget val="inner"/>
          <c:xMode val="edge"/>
          <c:yMode val="edge"/>
          <c:x val="0.13166338582677201"/>
          <c:y val="0.211111111111111"/>
          <c:w val="0.58272047244094505"/>
          <c:h val="0.72870370370370396"/>
        </c:manualLayout>
      </c:layout>
      <c:barChart>
        <c:barDir val="col"/>
        <c:grouping val="stacked"/>
        <c:varyColors val="0"/>
        <c:ser>
          <c:idx val="0"/>
          <c:order val="0"/>
          <c:tx>
            <c:strRef>
              <c:f>'Customer Calc'!$BO$18</c:f>
              <c:strCache>
                <c:ptCount val="1"/>
                <c:pt idx="0">
                  <c:v>Variable Rate</c:v>
                </c:pt>
              </c:strCache>
            </c:strRef>
          </c:tx>
          <c:invertIfNegative val="0"/>
          <c:cat>
            <c:numRef>
              <c:f>'Customer Calc'!$BR$6:$CQ$6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Calc'!$BR$18:$CQ$18</c:f>
              <c:numCache>
                <c:formatCode>_("$"* #,##0.00_);_("$"* \(#,##0.00\);_("$"* "-"??_);_(@_)</c:formatCode>
                <c:ptCount val="26"/>
                <c:pt idx="0">
                  <c:v>3.9E-2</c:v>
                </c:pt>
                <c:pt idx="1">
                  <c:v>4.1534999999999996E-2</c:v>
                </c:pt>
                <c:pt idx="2">
                  <c:v>4.423477499999999E-2</c:v>
                </c:pt>
                <c:pt idx="3">
                  <c:v>4.7110035374999984E-2</c:v>
                </c:pt>
                <c:pt idx="4">
                  <c:v>5.0172187674374986E-2</c:v>
                </c:pt>
                <c:pt idx="5">
                  <c:v>5.3433379873209355E-2</c:v>
                </c:pt>
                <c:pt idx="6">
                  <c:v>5.6906549564967948E-2</c:v>
                </c:pt>
                <c:pt idx="7">
                  <c:v>6.0605475286690871E-2</c:v>
                </c:pt>
                <c:pt idx="8">
                  <c:v>6.4544831180325779E-2</c:v>
                </c:pt>
                <c:pt idx="9">
                  <c:v>6.8740245207046954E-2</c:v>
                </c:pt>
                <c:pt idx="10">
                  <c:v>7.3208361145504997E-2</c:v>
                </c:pt>
                <c:pt idx="11">
                  <c:v>7.7966904619962807E-2</c:v>
                </c:pt>
                <c:pt idx="12">
                  <c:v>8.3034753420260399E-2</c:v>
                </c:pt>
                <c:pt idx="13">
                  <c:v>8.8432012392577322E-2</c:v>
                </c:pt>
                <c:pt idx="14">
                  <c:v>9.4180093198094839E-2</c:v>
                </c:pt>
                <c:pt idx="15">
                  <c:v>0.10030179925597099</c:v>
                </c:pt>
                <c:pt idx="16">
                  <c:v>0.1068214162076091</c:v>
                </c:pt>
                <c:pt idx="17">
                  <c:v>0.11376480826110368</c:v>
                </c:pt>
                <c:pt idx="18">
                  <c:v>0.1211595207980754</c:v>
                </c:pt>
                <c:pt idx="19">
                  <c:v>0.12903488964995033</c:v>
                </c:pt>
                <c:pt idx="20">
                  <c:v>0.13742215747719708</c:v>
                </c:pt>
                <c:pt idx="21">
                  <c:v>0.14635459771321488</c:v>
                </c:pt>
                <c:pt idx="22">
                  <c:v>0.15586764656457383</c:v>
                </c:pt>
                <c:pt idx="23">
                  <c:v>0.16599904359127113</c:v>
                </c:pt>
                <c:pt idx="24">
                  <c:v>0.17678898142470376</c:v>
                </c:pt>
                <c:pt idx="25">
                  <c:v>0.18828026521730948</c:v>
                </c:pt>
              </c:numCache>
            </c:numRef>
          </c:val>
        </c:ser>
        <c:ser>
          <c:idx val="1"/>
          <c:order val="1"/>
          <c:tx>
            <c:strRef>
              <c:f>'Customer Calc'!$BO$19</c:f>
              <c:strCache>
                <c:ptCount val="1"/>
                <c:pt idx="0">
                  <c:v>Fixed Rate</c:v>
                </c:pt>
              </c:strCache>
            </c:strRef>
          </c:tx>
          <c:invertIfNegative val="0"/>
          <c:cat>
            <c:numRef>
              <c:f>'Customer Calc'!$BR$6:$CQ$6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Calc'!$BR$19:$CQ$19</c:f>
              <c:numCache>
                <c:formatCode>_("$"* #,##0.00_);_("$"* \(#,##0.00\);_("$"* "-"??_);_(@_)</c:formatCode>
                <c:ptCount val="26"/>
                <c:pt idx="0">
                  <c:v>4.1266867776096512E-2</c:v>
                </c:pt>
                <c:pt idx="1">
                  <c:v>4.2351717474386479E-2</c:v>
                </c:pt>
                <c:pt idx="2">
                  <c:v>4.2732044349808845E-2</c:v>
                </c:pt>
                <c:pt idx="3">
                  <c:v>4.31505258939371E-2</c:v>
                </c:pt>
                <c:pt idx="4">
                  <c:v>4.3609208523726746E-2</c:v>
                </c:pt>
                <c:pt idx="5">
                  <c:v>4.4110277106944637E-2</c:v>
                </c:pt>
                <c:pt idx="6">
                  <c:v>4.4656066268180077E-2</c:v>
                </c:pt>
                <c:pt idx="7">
                  <c:v>4.5249072885917264E-2</c:v>
                </c:pt>
                <c:pt idx="8">
                  <c:v>4.5891969940936909E-2</c:v>
                </c:pt>
                <c:pt idx="9">
                  <c:v>4.6587621902727951E-2</c:v>
                </c:pt>
                <c:pt idx="10">
                  <c:v>4.7339101872122348E-2</c:v>
                </c:pt>
                <c:pt idx="11">
                  <c:v>4.806847824603562E-2</c:v>
                </c:pt>
                <c:pt idx="12">
                  <c:v>4.8850695473727238E-2</c:v>
                </c:pt>
                <c:pt idx="13">
                  <c:v>4.9688389607332663E-2</c:v>
                </c:pt>
                <c:pt idx="14">
                  <c:v>5.0584336478021769E-2</c:v>
                </c:pt>
                <c:pt idx="15">
                  <c:v>5.1541459060875407E-2</c:v>
                </c:pt>
                <c:pt idx="16">
                  <c:v>5.2562835226111777E-2</c:v>
                </c:pt>
                <c:pt idx="17">
                  <c:v>5.3651705896724897E-2</c:v>
                </c:pt>
                <c:pt idx="18">
                  <c:v>5.4811483633651362E-2</c:v>
                </c:pt>
                <c:pt idx="19">
                  <c:v>5.6045761670693271E-2</c:v>
                </c:pt>
                <c:pt idx="20">
                  <c:v>5.7358323422598848E-2</c:v>
                </c:pt>
                <c:pt idx="21">
                  <c:v>5.8753152490940486E-2</c:v>
                </c:pt>
                <c:pt idx="22">
                  <c:v>6.0234443193735471E-2</c:v>
                </c:pt>
                <c:pt idx="23">
                  <c:v>6.1806611646130327E-2</c:v>
                </c:pt>
                <c:pt idx="24">
                  <c:v>6.3474307420923054E-2</c:v>
                </c:pt>
                <c:pt idx="25">
                  <c:v>6.5242425819222891E-2</c:v>
                </c:pt>
              </c:numCache>
            </c:numRef>
          </c:val>
        </c:ser>
        <c:ser>
          <c:idx val="2"/>
          <c:order val="2"/>
          <c:tx>
            <c:strRef>
              <c:f>'Customer Calc'!$BO$20</c:f>
              <c:strCache>
                <c:ptCount val="1"/>
                <c:pt idx="0">
                  <c:v>Program Cost Recovery</c:v>
                </c:pt>
              </c:strCache>
            </c:strRef>
          </c:tx>
          <c:invertIfNegative val="0"/>
          <c:cat>
            <c:numRef>
              <c:f>'Customer Calc'!$BR$6:$CQ$6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Calc'!$BR$20:$CQ$20</c:f>
              <c:numCache>
                <c:formatCode>_("$"* #,##0.0000_);_("$"* \(#,##0.0000\);_("$"* "-"??_);_(@_)</c:formatCode>
                <c:ptCount val="26"/>
                <c:pt idx="0" formatCode="_(&quot;$&quot;* #,##0.00_);_(&quot;$&quot;* \(#,##0.00\);_(&quot;$&quot;* &quot;-&quot;??_);_(@_)">
                  <c:v>0</c:v>
                </c:pt>
                <c:pt idx="1">
                  <c:v>3.8867191309660125E-4</c:v>
                </c:pt>
                <c:pt idx="2">
                  <c:v>3.9685285034338344E-4</c:v>
                </c:pt>
                <c:pt idx="3">
                  <c:v>4.0527991869113232E-4</c:v>
                </c:pt>
                <c:pt idx="4">
                  <c:v>4.1396606051814598E-4</c:v>
                </c:pt>
                <c:pt idx="5">
                  <c:v>4.2292525806869071E-4</c:v>
                </c:pt>
                <c:pt idx="6">
                  <c:v>4.3217263979645478E-4</c:v>
                </c:pt>
                <c:pt idx="7">
                  <c:v>4.4172459977586455E-4</c:v>
                </c:pt>
                <c:pt idx="8">
                  <c:v>4.5159893208448804E-4</c:v>
                </c:pt>
                <c:pt idx="9">
                  <c:v>4.6181498238374798E-4</c:v>
                </c:pt>
                <c:pt idx="10">
                  <c:v>4.723938193126314E-4</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3"/>
          <c:order val="3"/>
          <c:tx>
            <c:strRef>
              <c:f>'Customer Calc'!$BO$21</c:f>
              <c:strCache>
                <c:ptCount val="1"/>
                <c:pt idx="0">
                  <c:v>Fixed Cost Rate Recovery</c:v>
                </c:pt>
              </c:strCache>
            </c:strRef>
          </c:tx>
          <c:invertIfNegative val="0"/>
          <c:cat>
            <c:numRef>
              <c:f>'Customer Calc'!$BR$6:$CQ$6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Calc'!$BR$21:$CQ$21</c:f>
              <c:numCache>
                <c:formatCode>_("$"* #,##0.0000_);_("$"* \(#,##0.0000\);_("$"* "-"??_);_(@_)</c:formatCode>
                <c:ptCount val="26"/>
                <c:pt idx="0">
                  <c:v>0</c:v>
                </c:pt>
                <c:pt idx="1">
                  <c:v>1.2769697309320511E-4</c:v>
                </c:pt>
                <c:pt idx="2">
                  <c:v>2.6202287812551826E-4</c:v>
                </c:pt>
                <c:pt idx="3">
                  <c:v>4.0374037644987993E-4</c:v>
                </c:pt>
                <c:pt idx="4">
                  <c:v>5.5369449485745414E-4</c:v>
                </c:pt>
                <c:pt idx="5">
                  <c:v>7.128227247501335E-4</c:v>
                </c:pt>
                <c:pt idx="6">
                  <c:v>8.8216649444850654E-4</c:v>
                </c:pt>
                <c:pt idx="7">
                  <c:v>1.06288422336685E-3</c:v>
                </c:pt>
                <c:pt idx="8">
                  <c:v>1.2562662024995267E-3</c:v>
                </c:pt>
                <c:pt idx="9">
                  <c:v>1.4637515882801315E-3</c:v>
                </c:pt>
                <c:pt idx="10">
                  <c:v>1.6869478479016068E-3</c:v>
                </c:pt>
                <c:pt idx="11">
                  <c:v>1.7129373762177962E-3</c:v>
                </c:pt>
                <c:pt idx="12">
                  <c:v>1.7408090069351355E-3</c:v>
                </c:pt>
                <c:pt idx="13">
                  <c:v>1.7706566187477464E-3</c:v>
                </c:pt>
                <c:pt idx="14">
                  <c:v>1.8025790658317417E-3</c:v>
                </c:pt>
                <c:pt idx="15">
                  <c:v>1.8366804398474595E-3</c:v>
                </c:pt>
                <c:pt idx="16">
                  <c:v>1.8730703456804935E-3</c:v>
                </c:pt>
                <c:pt idx="17">
                  <c:v>1.9118641916350152E-3</c:v>
                </c:pt>
                <c:pt idx="18">
                  <c:v>1.9531834948302309E-3</c:v>
                </c:pt>
                <c:pt idx="19">
                  <c:v>1.9971562025903966E-3</c:v>
                </c:pt>
                <c:pt idx="20">
                  <c:v>2.0439170306604929E-3</c:v>
                </c:pt>
                <c:pt idx="21">
                  <c:v>2.0936078191236868E-3</c:v>
                </c:pt>
                <c:pt idx="22">
                  <c:v>2.1463779069429856E-3</c:v>
                </c:pt>
                <c:pt idx="23">
                  <c:v>2.2023845260985392E-3</c:v>
                </c:pt>
                <c:pt idx="24">
                  <c:v>2.261793216343459E-3</c:v>
                </c:pt>
                <c:pt idx="25">
                  <c:v>2.3247782616553376E-3</c:v>
                </c:pt>
              </c:numCache>
            </c:numRef>
          </c:val>
        </c:ser>
        <c:ser>
          <c:idx val="4"/>
          <c:order val="4"/>
          <c:tx>
            <c:strRef>
              <c:f>'Customer Calc'!$BO$22</c:f>
              <c:strCache>
                <c:ptCount val="1"/>
                <c:pt idx="0">
                  <c:v>Use Shift Rate Impact</c:v>
                </c:pt>
              </c:strCache>
            </c:strRef>
          </c:tx>
          <c:invertIfNegative val="0"/>
          <c:cat>
            <c:numRef>
              <c:f>'Customer Calc'!$BR$6:$CQ$6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Calc'!$BR$22:$CQ$22</c:f>
              <c:numCache>
                <c:formatCode>_("$"* #,##0.0000_);_("$"* \(#,##0.0000\);_("$"* "-"??_);_(@_)</c:formatCode>
                <c:ptCount val="26"/>
                <c:pt idx="0">
                  <c:v>0</c:v>
                </c:pt>
                <c:pt idx="1">
                  <c:v>-2.1955594906335893E-4</c:v>
                </c:pt>
                <c:pt idx="2">
                  <c:v>-2.4533681547458247E-4</c:v>
                </c:pt>
                <c:pt idx="3">
                  <c:v>-2.7427986149518302E-4</c:v>
                </c:pt>
                <c:pt idx="4">
                  <c:v>-3.0679390555141351E-4</c:v>
                </c:pt>
                <c:pt idx="5">
                  <c:v>-3.4334400491015332E-4</c:v>
                </c:pt>
                <c:pt idx="6">
                  <c:v>-3.8445979592179969E-4</c:v>
                </c:pt>
                <c:pt idx="7">
                  <c:v>-4.3074518986440497E-4</c:v>
                </c:pt>
                <c:pt idx="8">
                  <c:v>-4.8288966996437105E-4</c:v>
                </c:pt>
                <c:pt idx="9">
                  <c:v>-5.4168148537713868E-4</c:v>
                </c:pt>
                <c:pt idx="10">
                  <c:v>-6.0802309976600933E-4</c:v>
                </c:pt>
                <c:pt idx="11">
                  <c:v>-1.5781729415013463E-4</c:v>
                </c:pt>
                <c:pt idx="12">
                  <c:v>-1.6807541826990374E-4</c:v>
                </c:pt>
                <c:pt idx="13">
                  <c:v>-1.7900032045744618E-4</c:v>
                </c:pt>
                <c:pt idx="14">
                  <c:v>-1.9063534128723833E-4</c:v>
                </c:pt>
                <c:pt idx="15">
                  <c:v>-2.0302663847091929E-4</c:v>
                </c:pt>
                <c:pt idx="16">
                  <c:v>-2.1622336997152247E-4</c:v>
                </c:pt>
                <c:pt idx="17">
                  <c:v>-2.3027788901970139E-4</c:v>
                </c:pt>
                <c:pt idx="18">
                  <c:v>-2.4524595180598169E-4</c:v>
                </c:pt>
                <c:pt idx="19">
                  <c:v>-2.6118693867339487E-4</c:v>
                </c:pt>
                <c:pt idx="20">
                  <c:v>-2.7816408968720879E-4</c:v>
                </c:pt>
                <c:pt idx="21">
                  <c:v>-2.9624475551690943E-4</c:v>
                </c:pt>
                <c:pt idx="22">
                  <c:v>-3.1550066462547144E-4</c:v>
                </c:pt>
                <c:pt idx="23">
                  <c:v>-3.3600820782618107E-4</c:v>
                </c:pt>
                <c:pt idx="24">
                  <c:v>-3.5784874133485794E-4</c:v>
                </c:pt>
                <c:pt idx="25">
                  <c:v>-3.8110890952165294E-4</c:v>
                </c:pt>
              </c:numCache>
            </c:numRef>
          </c:val>
        </c:ser>
        <c:dLbls>
          <c:showLegendKey val="0"/>
          <c:showVal val="0"/>
          <c:showCatName val="0"/>
          <c:showSerName val="0"/>
          <c:showPercent val="0"/>
          <c:showBubbleSize val="0"/>
        </c:dLbls>
        <c:gapWidth val="150"/>
        <c:overlap val="100"/>
        <c:axId val="255111968"/>
        <c:axId val="255112528"/>
      </c:barChart>
      <c:catAx>
        <c:axId val="255111968"/>
        <c:scaling>
          <c:orientation val="minMax"/>
        </c:scaling>
        <c:delete val="0"/>
        <c:axPos val="b"/>
        <c:numFmt formatCode="General" sourceLinked="1"/>
        <c:majorTickMark val="out"/>
        <c:minorTickMark val="none"/>
        <c:tickLblPos val="nextTo"/>
        <c:txPr>
          <a:bodyPr rot="-2700000"/>
          <a:lstStyle/>
          <a:p>
            <a:pPr>
              <a:defRPr/>
            </a:pPr>
            <a:endParaRPr lang="en-US"/>
          </a:p>
        </c:txPr>
        <c:crossAx val="255112528"/>
        <c:crosses val="autoZero"/>
        <c:auto val="1"/>
        <c:lblAlgn val="ctr"/>
        <c:lblOffset val="100"/>
        <c:noMultiLvlLbl val="0"/>
      </c:catAx>
      <c:valAx>
        <c:axId val="255112528"/>
        <c:scaling>
          <c:orientation val="minMax"/>
        </c:scaling>
        <c:delete val="0"/>
        <c:axPos val="l"/>
        <c:numFmt formatCode="_(&quot;$&quot;* #,##0.00_);_(&quot;$&quot;* \(#,##0.00\);_(&quot;$&quot;* &quot;-&quot;??_);_(@_)" sourceLinked="1"/>
        <c:majorTickMark val="out"/>
        <c:minorTickMark val="none"/>
        <c:tickLblPos val="nextTo"/>
        <c:crossAx val="255111968"/>
        <c:crosses val="autoZero"/>
        <c:crossBetween val="between"/>
      </c:valAx>
    </c:plotArea>
    <c:legend>
      <c:legendPos val="r"/>
      <c:layout>
        <c:manualLayout>
          <c:xMode val="edge"/>
          <c:yMode val="edge"/>
          <c:x val="0.71393197725284296"/>
          <c:y val="0.28746609798775102"/>
          <c:w val="0.24440135608048999"/>
          <c:h val="0.51580818022747199"/>
        </c:manualLayout>
      </c:layout>
      <c:overlay val="0"/>
    </c:legend>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Levelized Cost of Energy</a:t>
            </a:r>
          </a:p>
        </c:rich>
      </c:tx>
      <c:overlay val="0"/>
    </c:title>
    <c:autoTitleDeleted val="0"/>
    <c:plotArea>
      <c:layout/>
      <c:barChart>
        <c:barDir val="col"/>
        <c:grouping val="clustered"/>
        <c:varyColors val="0"/>
        <c:ser>
          <c:idx val="0"/>
          <c:order val="0"/>
          <c:invertIfNegative val="0"/>
          <c:cat>
            <c:numRef>
              <c:f>'Customer Calc'!$BR$6:$CB$6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'Customer Calc'!$BR$29:$CB$29</c:f>
              <c:numCache>
                <c:formatCode>_("$"* #,##0.0000_);_("$"* \(#,##0.0000\);_("$"* "-"??_);_(@_)</c:formatCode>
                <c:ptCount val="11"/>
                <c:pt idx="0">
                  <c:v>0</c:v>
                </c:pt>
                <c:pt idx="1">
                  <c:v>1.3957117972702032E-2</c:v>
                </c:pt>
                <c:pt idx="2">
                  <c:v>1.3593463154580768E-2</c:v>
                </c:pt>
                <c:pt idx="3">
                  <c:v>1.3233919481681268E-2</c:v>
                </c:pt>
                <c:pt idx="4">
                  <c:v>1.287886459321866E-2</c:v>
                </c:pt>
                <c:pt idx="5">
                  <c:v>1.2528641012722693E-2</c:v>
                </c:pt>
                <c:pt idx="6">
                  <c:v>1.2183557101836752E-2</c:v>
                </c:pt>
                <c:pt idx="7">
                  <c:v>1.1843888163130343E-2</c:v>
                </c:pt>
                <c:pt idx="8">
                  <c:v>1.1509877666545194E-2</c:v>
                </c:pt>
                <c:pt idx="9">
                  <c:v>1.1181738575523398E-2</c:v>
                </c:pt>
                <c:pt idx="10">
                  <c:v>1.0859654750479251E-2</c:v>
                </c:pt>
              </c:numCache>
            </c:numRef>
          </c:val>
        </c:ser>
        <c:dLbls>
          <c:showLegendKey val="0"/>
          <c:showVal val="0"/>
          <c:showCatName val="0"/>
          <c:showSerName val="0"/>
          <c:showPercent val="0"/>
          <c:showBubbleSize val="0"/>
        </c:dLbls>
        <c:gapWidth val="150"/>
        <c:axId val="255115328"/>
        <c:axId val="255115888"/>
      </c:barChart>
      <c:catAx>
        <c:axId val="255115328"/>
        <c:scaling>
          <c:orientation val="minMax"/>
        </c:scaling>
        <c:delete val="0"/>
        <c:axPos val="b"/>
        <c:numFmt formatCode="General" sourceLinked="1"/>
        <c:majorTickMark val="out"/>
        <c:minorTickMark val="none"/>
        <c:tickLblPos val="nextTo"/>
        <c:txPr>
          <a:bodyPr rot="-2700000"/>
          <a:lstStyle/>
          <a:p>
            <a:pPr>
              <a:defRPr/>
            </a:pPr>
            <a:endParaRPr lang="en-US"/>
          </a:p>
        </c:txPr>
        <c:crossAx val="255115888"/>
        <c:crosses val="autoZero"/>
        <c:auto val="1"/>
        <c:lblAlgn val="ctr"/>
        <c:lblOffset val="100"/>
        <c:noMultiLvlLbl val="0"/>
      </c:catAx>
      <c:valAx>
        <c:axId val="255115888"/>
        <c:scaling>
          <c:orientation val="minMax"/>
        </c:scaling>
        <c:delete val="0"/>
        <c:axPos val="l"/>
        <c:majorGridlines/>
        <c:numFmt formatCode="_(&quot;$&quot;* #,##0.000_);_(&quot;$&quot;* \(#,##0.000\);_(&quot;$&quot;* &quot;-&quot;???_);_(@_)" sourceLinked="0"/>
        <c:majorTickMark val="out"/>
        <c:minorTickMark val="none"/>
        <c:tickLblPos val="nextTo"/>
        <c:crossAx val="255115328"/>
        <c:crosses val="autoZero"/>
        <c:crossBetween val="between"/>
      </c:valAx>
    </c:plotArea>
    <c:plotVisOnly val="1"/>
    <c:dispBlanksAs val="gap"/>
    <c:showDLblsOverMax val="0"/>
  </c:chart>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 Avg Bill Difference </a:t>
            </a:r>
          </a:p>
          <a:p>
            <a:pPr>
              <a:defRPr/>
            </a:pPr>
            <a:r>
              <a:rPr lang="en-US"/>
              <a:t>(EE Case - Base Case)</a:t>
            </a:r>
          </a:p>
        </c:rich>
      </c:tx>
      <c:overlay val="0"/>
    </c:title>
    <c:autoTitleDeleted val="0"/>
    <c:plotArea>
      <c:layout/>
      <c:lineChart>
        <c:grouping val="standard"/>
        <c:varyColors val="0"/>
        <c:ser>
          <c:idx val="0"/>
          <c:order val="0"/>
          <c:marker>
            <c:symbol val="none"/>
          </c:marker>
          <c:cat>
            <c:numRef>
              <c:f>'Customer Calc'!$BR$34:$CQ$34</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Calc'!$BR$35:$CQ$35</c:f>
              <c:numCache>
                <c:formatCode>0.00%</c:formatCode>
                <c:ptCount val="26"/>
                <c:pt idx="0">
                  <c:v>0</c:v>
                </c:pt>
                <c:pt idx="1">
                  <c:v>2.9937776016671059E-3</c:v>
                </c:pt>
                <c:pt idx="2">
                  <c:v>1.7508900178938316E-3</c:v>
                </c:pt>
                <c:pt idx="3">
                  <c:v>4.3278015752488285E-4</c:v>
                </c:pt>
                <c:pt idx="4">
                  <c:v>-9.6185568321308654E-4</c:v>
                </c:pt>
                <c:pt idx="5">
                  <c:v>-2.4341574650381011E-3</c:v>
                </c:pt>
                <c:pt idx="6">
                  <c:v>-3.9851177167395061E-3</c:v>
                </c:pt>
                <c:pt idx="7">
                  <c:v>-5.6156023936052846E-3</c:v>
                </c:pt>
                <c:pt idx="8">
                  <c:v>-7.3263761778452402E-3</c:v>
                </c:pt>
                <c:pt idx="9">
                  <c:v>-9.11813208532509E-3</c:v>
                </c:pt>
                <c:pt idx="10">
                  <c:v>-1.0991525236228096E-2</c:v>
                </c:pt>
                <c:pt idx="11">
                  <c:v>-1.3379081758296111E-2</c:v>
                </c:pt>
                <c:pt idx="12">
                  <c:v>-1.3648542276275518E-2</c:v>
                </c:pt>
                <c:pt idx="13">
                  <c:v>-1.391337944565098E-2</c:v>
                </c:pt>
                <c:pt idx="14">
                  <c:v>-1.4173228030748452E-2</c:v>
                </c:pt>
                <c:pt idx="15">
                  <c:v>-1.44277638309021E-2</c:v>
                </c:pt>
                <c:pt idx="16">
                  <c:v>-1.4676704009581262E-2</c:v>
                </c:pt>
                <c:pt idx="17">
                  <c:v>-1.4919806895896094E-2</c:v>
                </c:pt>
                <c:pt idx="18">
                  <c:v>-1.5156871303874242E-2</c:v>
                </c:pt>
                <c:pt idx="19">
                  <c:v>-1.5387735421464209E-2</c:v>
                </c:pt>
                <c:pt idx="20">
                  <c:v>-1.5612275325599041E-2</c:v>
                </c:pt>
                <c:pt idx="21">
                  <c:v>-1.5830403181989573E-2</c:v>
                </c:pt>
                <c:pt idx="22">
                  <c:v>-1.6042065188768866E-2</c:v>
                </c:pt>
                <c:pt idx="23">
                  <c:v>-1.6247239321923061E-2</c:v>
                </c:pt>
                <c:pt idx="24">
                  <c:v>-1.6445932937848583E-2</c:v>
                </c:pt>
                <c:pt idx="25">
                  <c:v>-1.6638180284705671E-2</c:v>
                </c:pt>
              </c:numCache>
            </c:numRef>
          </c:val>
          <c:smooth val="0"/>
        </c:ser>
        <c:dLbls>
          <c:showLegendKey val="0"/>
          <c:showVal val="0"/>
          <c:showCatName val="0"/>
          <c:showSerName val="0"/>
          <c:showPercent val="0"/>
          <c:showBubbleSize val="0"/>
        </c:dLbls>
        <c:smooth val="0"/>
        <c:axId val="255753376"/>
        <c:axId val="255753936"/>
      </c:lineChart>
      <c:catAx>
        <c:axId val="255753376"/>
        <c:scaling>
          <c:orientation val="minMax"/>
        </c:scaling>
        <c:delete val="0"/>
        <c:axPos val="b"/>
        <c:numFmt formatCode="General" sourceLinked="1"/>
        <c:majorTickMark val="out"/>
        <c:minorTickMark val="none"/>
        <c:tickLblPos val="nextTo"/>
        <c:txPr>
          <a:bodyPr rot="-2700000"/>
          <a:lstStyle/>
          <a:p>
            <a:pPr>
              <a:defRPr/>
            </a:pPr>
            <a:endParaRPr lang="en-US"/>
          </a:p>
        </c:txPr>
        <c:crossAx val="255753936"/>
        <c:crosses val="autoZero"/>
        <c:auto val="1"/>
        <c:lblAlgn val="ctr"/>
        <c:lblOffset val="100"/>
        <c:noMultiLvlLbl val="0"/>
      </c:catAx>
      <c:valAx>
        <c:axId val="255753936"/>
        <c:scaling>
          <c:orientation val="minMax"/>
        </c:scaling>
        <c:delete val="0"/>
        <c:axPos val="l"/>
        <c:numFmt formatCode="0.0%" sourceLinked="0"/>
        <c:majorTickMark val="out"/>
        <c:minorTickMark val="none"/>
        <c:tickLblPos val="nextTo"/>
        <c:crossAx val="255753376"/>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Rate comparison</a:t>
            </a:r>
          </a:p>
        </c:rich>
      </c:tx>
      <c:overlay val="0"/>
      <c:spPr>
        <a:noFill/>
        <a:ln w="25400">
          <a:noFill/>
        </a:ln>
      </c:spPr>
    </c:title>
    <c:autoTitleDeleted val="0"/>
    <c:plotArea>
      <c:layout>
        <c:manualLayout>
          <c:layoutTarget val="inner"/>
          <c:xMode val="edge"/>
          <c:yMode val="edge"/>
          <c:x val="0.114386496662381"/>
          <c:y val="0.157115354786909"/>
          <c:w val="0.70188710049882896"/>
          <c:h val="0.66413240011665198"/>
        </c:manualLayout>
      </c:layout>
      <c:barChart>
        <c:barDir val="col"/>
        <c:grouping val="clustered"/>
        <c:varyColors val="0"/>
        <c:ser>
          <c:idx val="0"/>
          <c:order val="0"/>
          <c:tx>
            <c:v>Base Case</c:v>
          </c:tx>
          <c:spPr>
            <a:solidFill>
              <a:srgbClr val="4F81BD"/>
            </a:solidFill>
            <a:ln w="25400">
              <a:noFill/>
            </a:ln>
          </c:spPr>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Calc'!$G$163:$AF$163</c:f>
              <c:numCache>
                <c:formatCode>_("$"* #,##0.00_);_("$"* \(#,##0.00\);_("$"* "-"??_);_(@_)</c:formatCode>
                <c:ptCount val="26"/>
                <c:pt idx="0">
                  <c:v>0.12</c:v>
                </c:pt>
                <c:pt idx="1">
                  <c:v>0.12447809343495758</c:v>
                </c:pt>
                <c:pt idx="2">
                  <c:v>0.12772751583659603</c:v>
                </c:pt>
                <c:pt idx="3">
                  <c:v>0.13121701373783376</c:v>
                </c:pt>
                <c:pt idx="4">
                  <c:v>0.13496087711330118</c:v>
                </c:pt>
                <c:pt idx="5">
                  <c:v>0.13897428828856304</c:v>
                </c:pt>
                <c:pt idx="6">
                  <c:v>0.14327337784429534</c:v>
                </c:pt>
                <c:pt idx="7">
                  <c:v>0.14787528404857009</c:v>
                </c:pt>
                <c:pt idx="8">
                  <c:v>0.15279821604078836</c:v>
                </c:pt>
                <c:pt idx="9">
                  <c:v>0.1580615210050198</c:v>
                </c:pt>
                <c:pt idx="10">
                  <c:v>0.16368575558563672</c:v>
                </c:pt>
                <c:pt idx="11">
                  <c:v>0.16969276181423315</c:v>
                </c:pt>
                <c:pt idx="12">
                  <c:v>0.17610574783395577</c:v>
                </c:pt>
                <c:pt idx="13">
                  <c:v>0.18294937372561296</c:v>
                </c:pt>
                <c:pt idx="14">
                  <c:v>0.19024984275934054</c:v>
                </c:pt>
                <c:pt idx="15">
                  <c:v>0.1980349984162646</c:v>
                </c:pt>
                <c:pt idx="16">
                  <c:v>0.20633442754659315</c:v>
                </c:pt>
                <c:pt idx="17">
                  <c:v>0.21517957005397592</c:v>
                </c:pt>
                <c:pt idx="18">
                  <c:v>0.22460383552088622</c:v>
                </c:pt>
                <c:pt idx="19">
                  <c:v>0.23464272721629492</c:v>
                </c:pt>
                <c:pt idx="20">
                  <c:v>0.2453339739551319</c:v>
                </c:pt>
                <c:pt idx="21">
                  <c:v>0.25671767030906778</c:v>
                </c:pt>
                <c:pt idx="22">
                  <c:v>0.26883642570012295</c:v>
                </c:pt>
                <c:pt idx="23">
                  <c:v>0.28173552294263216</c:v>
                </c:pt>
                <c:pt idx="24">
                  <c:v>0.29546308683531319</c:v>
                </c:pt>
                <c:pt idx="25">
                  <c:v>0.31007026344371968</c:v>
                </c:pt>
              </c:numCache>
            </c:numRef>
          </c:val>
        </c:ser>
        <c:ser>
          <c:idx val="1"/>
          <c:order val="1"/>
          <c:tx>
            <c:v>w/ EE</c:v>
          </c:tx>
          <c:spPr>
            <a:solidFill>
              <a:srgbClr val="C0504D"/>
            </a:solidFill>
            <a:ln w="25400">
              <a:noFill/>
            </a:ln>
          </c:spPr>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Calc'!$G$164:$AF$164</c:f>
              <c:numCache>
                <c:formatCode>_("$"* #,##0.00_);_("$"* \(#,##0.00\);_("$"* "-"??_);_(@_)</c:formatCode>
                <c:ptCount val="26"/>
                <c:pt idx="0">
                  <c:v>0.12</c:v>
                </c:pt>
                <c:pt idx="1">
                  <c:v>0.12516901600758026</c:v>
                </c:pt>
                <c:pt idx="2">
                  <c:v>0.12859014786342932</c:v>
                </c:pt>
                <c:pt idx="3">
                  <c:v>0.13225119914264652</c:v>
                </c:pt>
                <c:pt idx="4">
                  <c:v>0.13616650660240781</c:v>
                </c:pt>
                <c:pt idx="5">
                  <c:v>0.14035126994722327</c:v>
                </c:pt>
                <c:pt idx="6">
                  <c:v>0.14482160111909095</c:v>
                </c:pt>
                <c:pt idx="7">
                  <c:v>0.14959457586464178</c:v>
                </c:pt>
                <c:pt idx="8">
                  <c:v>0.15468828756339648</c:v>
                </c:pt>
                <c:pt idx="9">
                  <c:v>0.16012190326560824</c:v>
                </c:pt>
                <c:pt idx="10">
                  <c:v>0.16591572184181186</c:v>
                </c:pt>
                <c:pt idx="11">
                  <c:v>0.17157041198162454</c:v>
                </c:pt>
                <c:pt idx="12">
                  <c:v>0.17800298950878388</c:v>
                </c:pt>
                <c:pt idx="13">
                  <c:v>0.18486778649486579</c:v>
                </c:pt>
                <c:pt idx="14">
                  <c:v>0.19219106919892717</c:v>
                </c:pt>
                <c:pt idx="15">
                  <c:v>0.20000074678724175</c:v>
                </c:pt>
                <c:pt idx="16">
                  <c:v>0.20832647458996334</c:v>
                </c:pt>
                <c:pt idx="17">
                  <c:v>0.21719976388649248</c:v>
                </c:pt>
                <c:pt idx="18">
                  <c:v>0.2266540986342481</c:v>
                </c:pt>
                <c:pt idx="19">
                  <c:v>0.23672505958205037</c:v>
                </c:pt>
                <c:pt idx="20">
                  <c:v>0.24745045623752998</c:v>
                </c:pt>
                <c:pt idx="21">
                  <c:v>0.25887046718800327</c:v>
                </c:pt>
                <c:pt idx="22">
                  <c:v>0.27102778930620658</c:v>
                </c:pt>
                <c:pt idx="23">
                  <c:v>0.2839677964062885</c:v>
                </c:pt>
                <c:pt idx="24">
                  <c:v>0.29773870795165697</c:v>
                </c:pt>
                <c:pt idx="25">
                  <c:v>0.31239176845478556</c:v>
                </c:pt>
              </c:numCache>
            </c:numRef>
          </c:val>
        </c:ser>
        <c:dLbls>
          <c:showLegendKey val="0"/>
          <c:showVal val="0"/>
          <c:showCatName val="0"/>
          <c:showSerName val="0"/>
          <c:showPercent val="0"/>
          <c:showBubbleSize val="0"/>
        </c:dLbls>
        <c:gapWidth val="150"/>
        <c:axId val="179348816"/>
        <c:axId val="179346016"/>
      </c:barChart>
      <c:catAx>
        <c:axId val="179348816"/>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a:lstStyle/>
          <a:p>
            <a:pPr>
              <a:defRPr/>
            </a:pPr>
            <a:endParaRPr lang="en-US"/>
          </a:p>
        </c:txPr>
        <c:crossAx val="179346016"/>
        <c:crosses val="autoZero"/>
        <c:auto val="1"/>
        <c:lblAlgn val="ctr"/>
        <c:lblOffset val="100"/>
        <c:tickLblSkip val="2"/>
        <c:noMultiLvlLbl val="0"/>
      </c:catAx>
      <c:valAx>
        <c:axId val="179346016"/>
        <c:scaling>
          <c:orientation val="minMax"/>
          <c:min val="0"/>
        </c:scaling>
        <c:delete val="0"/>
        <c:axPos val="l"/>
        <c:numFmt formatCode="_(&quot;$&quot;* #,##0.00_);_(&quot;$&quot;* \(#,##0.00\);_(&quot;$&quot;* &quot;-&quot;??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9348816"/>
        <c:crosses val="autoZero"/>
        <c:crossBetween val="between"/>
        <c:majorUnit val="0.05"/>
      </c:valAx>
      <c:spPr>
        <a:solidFill>
          <a:srgbClr val="FFFFFF"/>
        </a:solidFill>
        <a:ln w="25400">
          <a:noFill/>
        </a:ln>
      </c:spPr>
    </c:plotArea>
    <c:legend>
      <c:legendPos val="b"/>
      <c:layout>
        <c:manualLayout>
          <c:xMode val="edge"/>
          <c:yMode val="edge"/>
          <c:x val="0.81805036138614096"/>
          <c:y val="0.434008083867848"/>
          <c:w val="0.164281507951717"/>
          <c:h val="0.13493745495022899"/>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Bill Differene Breakdown</a:t>
            </a:r>
          </a:p>
        </c:rich>
      </c:tx>
      <c:overlay val="0"/>
    </c:title>
    <c:autoTitleDeleted val="0"/>
    <c:plotArea>
      <c:layout>
        <c:manualLayout>
          <c:layoutTarget val="inner"/>
          <c:xMode val="edge"/>
          <c:yMode val="edge"/>
          <c:x val="0.10172900262467199"/>
          <c:y val="0.26242089530475399"/>
          <c:w val="0.85728608923884497"/>
          <c:h val="0.677393919510061"/>
        </c:manualLayout>
      </c:layout>
      <c:lineChart>
        <c:grouping val="standard"/>
        <c:varyColors val="0"/>
        <c:ser>
          <c:idx val="0"/>
          <c:order val="0"/>
          <c:tx>
            <c:v>Participants</c:v>
          </c:tx>
          <c:marker>
            <c:symbol val="none"/>
          </c:marker>
          <c:cat>
            <c:numRef>
              <c:f>'Customer Calc'!$BR$34:$CQ$34</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Calc'!$BR$36:$CQ$36</c:f>
              <c:numCache>
                <c:formatCode>0.00%</c:formatCode>
                <c:ptCount val="26"/>
                <c:pt idx="0">
                  <c:v>0</c:v>
                </c:pt>
                <c:pt idx="1">
                  <c:v>-7.9501599753563537E-2</c:v>
                </c:pt>
                <c:pt idx="2">
                  <c:v>-7.8674552088582539E-2</c:v>
                </c:pt>
                <c:pt idx="3">
                  <c:v>-7.7912554738807552E-2</c:v>
                </c:pt>
                <c:pt idx="4">
                  <c:v>-7.7214517110106642E-2</c:v>
                </c:pt>
                <c:pt idx="5">
                  <c:v>-7.6578910452646698E-2</c:v>
                </c:pt>
                <c:pt idx="6">
                  <c:v>-7.6003759397748089E-2</c:v>
                </c:pt>
                <c:pt idx="7">
                  <c:v>-7.548663602199894E-2</c:v>
                </c:pt>
                <c:pt idx="8">
                  <c:v>-7.5024656129899767E-2</c:v>
                </c:pt>
                <c:pt idx="9">
                  <c:v>-7.4614477385330141E-2</c:v>
                </c:pt>
                <c:pt idx="10">
                  <c:v>-7.4252298876194639E-2</c:v>
                </c:pt>
                <c:pt idx="11">
                  <c:v>-7.7329795573834292E-2</c:v>
                </c:pt>
                <c:pt idx="12">
                  <c:v>-7.8479599303098072E-2</c:v>
                </c:pt>
                <c:pt idx="13">
                  <c:v>-7.9633488450301687E-2</c:v>
                </c:pt>
                <c:pt idx="14">
                  <c:v>-8.0791217068162072E-2</c:v>
                </c:pt>
                <c:pt idx="15">
                  <c:v>-8.1952581651931145E-2</c:v>
                </c:pt>
                <c:pt idx="16">
                  <c:v>-8.3117421158594787E-2</c:v>
                </c:pt>
                <c:pt idx="17">
                  <c:v>-8.4285616522416673E-2</c:v>
                </c:pt>
                <c:pt idx="18">
                  <c:v>-8.5457089716045917E-2</c:v>
                </c:pt>
                <c:pt idx="19">
                  <c:v>-8.6631802411813896E-2</c:v>
                </c:pt>
                <c:pt idx="20">
                  <c:v>-8.7809754301140949E-2</c:v>
                </c:pt>
                <c:pt idx="21">
                  <c:v>-8.8990981131300301E-2</c:v>
                </c:pt>
                <c:pt idx="22">
                  <c:v>-9.017555251836655E-2</c:v>
                </c:pt>
                <c:pt idx="23">
                  <c:v>-9.1363569593224933E-2</c:v>
                </c:pt>
                <c:pt idx="24">
                  <c:v>-9.2555162534324872E-2</c:v>
                </c:pt>
                <c:pt idx="25">
                  <c:v>-9.3750488036701482E-2</c:v>
                </c:pt>
              </c:numCache>
            </c:numRef>
          </c:val>
          <c:smooth val="0"/>
        </c:ser>
        <c:ser>
          <c:idx val="1"/>
          <c:order val="1"/>
          <c:tx>
            <c:v>Non-Partic</c:v>
          </c:tx>
          <c:marker>
            <c:symbol val="none"/>
          </c:marker>
          <c:cat>
            <c:numRef>
              <c:f>'Customer Calc'!$BR$34:$CQ$34</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Calc'!$BR$37:$CQ$37</c:f>
              <c:numCache>
                <c:formatCode>0.00%</c:formatCode>
                <c:ptCount val="26"/>
                <c:pt idx="0">
                  <c:v>0</c:v>
                </c:pt>
                <c:pt idx="1">
                  <c:v>5.357861132102665E-3</c:v>
                </c:pt>
                <c:pt idx="2">
                  <c:v>6.5528702673302982E-3</c:v>
                </c:pt>
                <c:pt idx="3">
                  <c:v>7.6818685818923265E-3</c:v>
                </c:pt>
                <c:pt idx="4">
                  <c:v>8.7447193269359225E-3</c:v>
                </c:pt>
                <c:pt idx="5">
                  <c:v>9.7414470191906667E-3</c:v>
                </c:pt>
                <c:pt idx="6">
                  <c:v>1.0672196456426012E-2</c:v>
                </c:pt>
                <c:pt idx="7">
                  <c:v>1.1537177617080089E-2</c:v>
                </c:pt>
                <c:pt idx="8">
                  <c:v>1.2336592764939905E-2</c:v>
                </c:pt>
                <c:pt idx="9">
                  <c:v>1.3070540447178052E-2</c:v>
                </c:pt>
                <c:pt idx="10">
                  <c:v>1.3738888584347474E-2</c:v>
                </c:pt>
                <c:pt idx="11">
                  <c:v>1.1380580089640579E-2</c:v>
                </c:pt>
                <c:pt idx="12">
                  <c:v>1.1115307673965482E-2</c:v>
                </c:pt>
                <c:pt idx="13">
                  <c:v>1.0855130960577214E-2</c:v>
                </c:pt>
                <c:pt idx="14">
                  <c:v>1.0600418111865274E-2</c:v>
                </c:pt>
                <c:pt idx="15">
                  <c:v>1.0351494051689598E-2</c:v>
                </c:pt>
                <c:pt idx="16">
                  <c:v>1.0108640328087285E-2</c:v>
                </c:pt>
                <c:pt idx="17">
                  <c:v>9.8720955109668218E-3</c:v>
                </c:pt>
                <c:pt idx="18">
                  <c:v>9.6420560747324628E-3</c:v>
                </c:pt>
                <c:pt idx="19">
                  <c:v>9.4186777097885633E-3</c:v>
                </c:pt>
                <c:pt idx="20">
                  <c:v>9.2020770030862339E-3</c:v>
                </c:pt>
                <c:pt idx="21">
                  <c:v>8.992333426163561E-3</c:v>
                </c:pt>
                <c:pt idx="22">
                  <c:v>8.7894915692686201E-3</c:v>
                </c:pt>
                <c:pt idx="23">
                  <c:v>8.5935635619401787E-3</c:v>
                </c:pt>
                <c:pt idx="24">
                  <c:v>8.4045316235184572E-3</c:v>
                </c:pt>
                <c:pt idx="25">
                  <c:v>8.2223506912238419E-3</c:v>
                </c:pt>
              </c:numCache>
            </c:numRef>
          </c:val>
          <c:smooth val="0"/>
        </c:ser>
        <c:ser>
          <c:idx val="2"/>
          <c:order val="2"/>
          <c:tx>
            <c:v>Total</c:v>
          </c:tx>
          <c:marker>
            <c:symbol val="none"/>
          </c:marker>
          <c:cat>
            <c:numRef>
              <c:f>'Customer Calc'!$BR$34:$CQ$34</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Calc'!$BR$35:$CQ$35</c:f>
              <c:numCache>
                <c:formatCode>0.00%</c:formatCode>
                <c:ptCount val="26"/>
                <c:pt idx="0">
                  <c:v>0</c:v>
                </c:pt>
                <c:pt idx="1">
                  <c:v>2.9937776016671059E-3</c:v>
                </c:pt>
                <c:pt idx="2">
                  <c:v>1.7508900178938316E-3</c:v>
                </c:pt>
                <c:pt idx="3">
                  <c:v>4.3278015752488285E-4</c:v>
                </c:pt>
                <c:pt idx="4">
                  <c:v>-9.6185568321308654E-4</c:v>
                </c:pt>
                <c:pt idx="5">
                  <c:v>-2.4341574650381011E-3</c:v>
                </c:pt>
                <c:pt idx="6">
                  <c:v>-3.9851177167395061E-3</c:v>
                </c:pt>
                <c:pt idx="7">
                  <c:v>-5.6156023936052846E-3</c:v>
                </c:pt>
                <c:pt idx="8">
                  <c:v>-7.3263761778452402E-3</c:v>
                </c:pt>
                <c:pt idx="9">
                  <c:v>-9.11813208532509E-3</c:v>
                </c:pt>
                <c:pt idx="10">
                  <c:v>-1.0991525236228096E-2</c:v>
                </c:pt>
                <c:pt idx="11">
                  <c:v>-1.3379081758296111E-2</c:v>
                </c:pt>
                <c:pt idx="12">
                  <c:v>-1.3648542276275518E-2</c:v>
                </c:pt>
                <c:pt idx="13">
                  <c:v>-1.391337944565098E-2</c:v>
                </c:pt>
                <c:pt idx="14">
                  <c:v>-1.4173228030748452E-2</c:v>
                </c:pt>
                <c:pt idx="15">
                  <c:v>-1.44277638309021E-2</c:v>
                </c:pt>
                <c:pt idx="16">
                  <c:v>-1.4676704009581262E-2</c:v>
                </c:pt>
                <c:pt idx="17">
                  <c:v>-1.4919806895896094E-2</c:v>
                </c:pt>
                <c:pt idx="18">
                  <c:v>-1.5156871303874242E-2</c:v>
                </c:pt>
                <c:pt idx="19">
                  <c:v>-1.5387735421464209E-2</c:v>
                </c:pt>
                <c:pt idx="20">
                  <c:v>-1.5612275325599041E-2</c:v>
                </c:pt>
                <c:pt idx="21">
                  <c:v>-1.5830403181989573E-2</c:v>
                </c:pt>
                <c:pt idx="22">
                  <c:v>-1.6042065188768866E-2</c:v>
                </c:pt>
                <c:pt idx="23">
                  <c:v>-1.6247239321923061E-2</c:v>
                </c:pt>
                <c:pt idx="24">
                  <c:v>-1.6445932937848583E-2</c:v>
                </c:pt>
                <c:pt idx="25">
                  <c:v>-1.6638180284705671E-2</c:v>
                </c:pt>
              </c:numCache>
            </c:numRef>
          </c:val>
          <c:smooth val="0"/>
        </c:ser>
        <c:dLbls>
          <c:showLegendKey val="0"/>
          <c:showVal val="0"/>
          <c:showCatName val="0"/>
          <c:showSerName val="0"/>
          <c:showPercent val="0"/>
          <c:showBubbleSize val="0"/>
        </c:dLbls>
        <c:smooth val="0"/>
        <c:axId val="255757296"/>
        <c:axId val="255757856"/>
      </c:lineChart>
      <c:catAx>
        <c:axId val="255757296"/>
        <c:scaling>
          <c:orientation val="minMax"/>
        </c:scaling>
        <c:delete val="0"/>
        <c:axPos val="b"/>
        <c:numFmt formatCode="General" sourceLinked="1"/>
        <c:majorTickMark val="out"/>
        <c:minorTickMark val="none"/>
        <c:tickLblPos val="nextTo"/>
        <c:txPr>
          <a:bodyPr rot="-2700000"/>
          <a:lstStyle/>
          <a:p>
            <a:pPr>
              <a:defRPr/>
            </a:pPr>
            <a:endParaRPr lang="en-US"/>
          </a:p>
        </c:txPr>
        <c:crossAx val="255757856"/>
        <c:crosses val="autoZero"/>
        <c:auto val="1"/>
        <c:lblAlgn val="ctr"/>
        <c:lblOffset val="100"/>
        <c:noMultiLvlLbl val="0"/>
      </c:catAx>
      <c:valAx>
        <c:axId val="255757856"/>
        <c:scaling>
          <c:orientation val="minMax"/>
        </c:scaling>
        <c:delete val="0"/>
        <c:axPos val="l"/>
        <c:numFmt formatCode="0%" sourceLinked="0"/>
        <c:majorTickMark val="out"/>
        <c:minorTickMark val="none"/>
        <c:tickLblPos val="nextTo"/>
        <c:crossAx val="255757296"/>
        <c:crosses val="autoZero"/>
        <c:crossBetween val="between"/>
      </c:valAx>
    </c:plotArea>
    <c:legend>
      <c:legendPos val="t"/>
      <c:layout>
        <c:manualLayout>
          <c:xMode val="edge"/>
          <c:yMode val="edge"/>
          <c:x val="0.19339545056867899"/>
          <c:y val="0.155555555555556"/>
          <c:w val="0.61320909886264197"/>
          <c:h val="9.2976450860309104E-2"/>
        </c:manualLayout>
      </c:layout>
      <c:overlay val="0"/>
    </c:legend>
    <c:plotVisOnly val="1"/>
    <c:dispBlanksAs val="gap"/>
    <c:showDLblsOverMax val="0"/>
  </c:chart>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Participation</a:t>
            </a:r>
          </a:p>
        </c:rich>
      </c:tx>
      <c:overlay val="0"/>
    </c:title>
    <c:autoTitleDeleted val="0"/>
    <c:plotArea>
      <c:layout>
        <c:manualLayout>
          <c:layoutTarget val="inner"/>
          <c:xMode val="edge"/>
          <c:yMode val="edge"/>
          <c:x val="0.170183289588801"/>
          <c:y val="0.211111111111111"/>
          <c:w val="0.63380161854768102"/>
          <c:h val="0.62122958588509802"/>
        </c:manualLayout>
      </c:layout>
      <c:areaChart>
        <c:grouping val="stacked"/>
        <c:varyColors val="0"/>
        <c:ser>
          <c:idx val="0"/>
          <c:order val="0"/>
          <c:tx>
            <c:v>Non-Partic</c:v>
          </c:tx>
          <c:spPr>
            <a:solidFill>
              <a:schemeClr val="accent2"/>
            </a:solidFill>
            <a:ln w="25400" cap="flat" cmpd="sng" algn="ctr">
              <a:solidFill>
                <a:schemeClr val="accent2">
                  <a:shade val="50000"/>
                </a:schemeClr>
              </a:solidFill>
              <a:prstDash val="solid"/>
            </a:ln>
            <a:effectLst/>
          </c:spPr>
          <c:cat>
            <c:numRef>
              <c:f>'Customer Calc'!$BR$34:$CQ$34</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Calc'!$BR$43:$CQ$43</c:f>
              <c:numCache>
                <c:formatCode>_(* #,##0_);_(* \(#,##0\);_(* "-"??_);_(@_)</c:formatCode>
                <c:ptCount val="26"/>
                <c:pt idx="0">
                  <c:v>2367580</c:v>
                </c:pt>
                <c:pt idx="1">
                  <c:v>2320456.3160000001</c:v>
                </c:pt>
                <c:pt idx="2">
                  <c:v>2272271.9690231998</c:v>
                </c:pt>
                <c:pt idx="3">
                  <c:v>2222948.6565204365</c:v>
                </c:pt>
                <c:pt idx="4">
                  <c:v>2172399.5704685776</c:v>
                </c:pt>
                <c:pt idx="5">
                  <c:v>2120528.4319044971</c:v>
                </c:pt>
                <c:pt idx="6">
                  <c:v>2067228.415436971</c:v>
                </c:pt>
                <c:pt idx="7">
                  <c:v>2012380.9511943799</c:v>
                </c:pt>
                <c:pt idx="8">
                  <c:v>1955854.3902363186</c:v>
                </c:pt>
                <c:pt idx="9">
                  <c:v>1897502.5178643956</c:v>
                </c:pt>
                <c:pt idx="10">
                  <c:v>1837162.8974931631</c:v>
                </c:pt>
                <c:pt idx="11">
                  <c:v>1863891.6368581308</c:v>
                </c:pt>
                <c:pt idx="12">
                  <c:v>1890893.0093646215</c:v>
                </c:pt>
                <c:pt idx="13">
                  <c:v>1918169.7958706783</c:v>
                </c:pt>
                <c:pt idx="14">
                  <c:v>1945724.8055990969</c:v>
                </c:pt>
                <c:pt idx="15">
                  <c:v>1973560.8764267457</c:v>
                </c:pt>
                <c:pt idx="16">
                  <c:v>2001680.8751768363</c:v>
                </c:pt>
                <c:pt idx="17">
                  <c:v>2030087.6979141776</c:v>
                </c:pt>
                <c:pt idx="18">
                  <c:v>2058784.2702434401</c:v>
                </c:pt>
                <c:pt idx="19">
                  <c:v>2087773.547610461</c:v>
                </c:pt>
                <c:pt idx="20">
                  <c:v>2117058.5156066259</c:v>
                </c:pt>
                <c:pt idx="21">
                  <c:v>2146642.1902763513</c:v>
                </c:pt>
                <c:pt idx="22">
                  <c:v>2176527.6184277078</c:v>
                </c:pt>
                <c:pt idx="23">
                  <c:v>2206717.8779462082</c:v>
                </c:pt>
                <c:pt idx="24">
                  <c:v>2237216.0781117976</c:v>
                </c:pt>
                <c:pt idx="25">
                  <c:v>2268025.3599190759</c:v>
                </c:pt>
              </c:numCache>
            </c:numRef>
          </c:val>
        </c:ser>
        <c:ser>
          <c:idx val="1"/>
          <c:order val="1"/>
          <c:tx>
            <c:v>Participants</c:v>
          </c:tx>
          <c:spPr>
            <a:solidFill>
              <a:schemeClr val="accent1"/>
            </a:solidFill>
            <a:ln w="25400" cap="flat" cmpd="sng" algn="ctr">
              <a:solidFill>
                <a:schemeClr val="accent1">
                  <a:shade val="50000"/>
                </a:schemeClr>
              </a:solidFill>
              <a:prstDash val="solid"/>
            </a:ln>
            <a:effectLst/>
          </c:spPr>
          <c:cat>
            <c:numRef>
              <c:f>'Customer Calc'!$BR$34:$CQ$34</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Calc'!$BR$46:$CQ$46</c:f>
              <c:numCache>
                <c:formatCode>_(* #,##0_);_(* \(#,##0\);_(* "-"??_);_(@_)</c:formatCode>
                <c:ptCount val="26"/>
                <c:pt idx="0">
                  <c:v>0</c:v>
                </c:pt>
                <c:pt idx="1">
                  <c:v>71273</c:v>
                </c:pt>
                <c:pt idx="2">
                  <c:v>143852.986</c:v>
                </c:pt>
                <c:pt idx="3">
                  <c:v>217820.773044</c:v>
                </c:pt>
                <c:pt idx="4">
                  <c:v>293265.70727741602</c:v>
                </c:pt>
                <c:pt idx="5">
                  <c:v>370286.63167450548</c:v>
                </c:pt>
                <c:pt idx="6">
                  <c:v>448992.96179053775</c:v>
                </c:pt>
                <c:pt idx="7">
                  <c:v>529505.88408084912</c:v>
                </c:pt>
                <c:pt idx="8">
                  <c:v>611959.69075871783</c:v>
                </c:pt>
                <c:pt idx="9">
                  <c:v>696503.26675679022</c:v>
                </c:pt>
                <c:pt idx="10">
                  <c:v>783301.74613115855</c:v>
                </c:pt>
                <c:pt idx="11">
                  <c:v>783301.74613115855</c:v>
                </c:pt>
                <c:pt idx="12">
                  <c:v>783301.74613115855</c:v>
                </c:pt>
                <c:pt idx="13">
                  <c:v>783301.74613115855</c:v>
                </c:pt>
                <c:pt idx="14">
                  <c:v>783301.74613115855</c:v>
                </c:pt>
                <c:pt idx="15">
                  <c:v>783301.74613115855</c:v>
                </c:pt>
                <c:pt idx="16">
                  <c:v>783301.74613115855</c:v>
                </c:pt>
                <c:pt idx="17">
                  <c:v>783301.74613115855</c:v>
                </c:pt>
                <c:pt idx="18">
                  <c:v>783301.74613115855</c:v>
                </c:pt>
                <c:pt idx="19">
                  <c:v>783301.74613115855</c:v>
                </c:pt>
                <c:pt idx="20">
                  <c:v>783301.74613115855</c:v>
                </c:pt>
                <c:pt idx="21">
                  <c:v>783301.74613115855</c:v>
                </c:pt>
                <c:pt idx="22">
                  <c:v>783301.74613115855</c:v>
                </c:pt>
                <c:pt idx="23">
                  <c:v>783301.74613115855</c:v>
                </c:pt>
                <c:pt idx="24">
                  <c:v>783301.74613115855</c:v>
                </c:pt>
                <c:pt idx="25">
                  <c:v>783301.74613115855</c:v>
                </c:pt>
              </c:numCache>
            </c:numRef>
          </c:val>
        </c:ser>
        <c:dLbls>
          <c:showLegendKey val="0"/>
          <c:showVal val="0"/>
          <c:showCatName val="0"/>
          <c:showSerName val="0"/>
          <c:showPercent val="0"/>
          <c:showBubbleSize val="0"/>
        </c:dLbls>
        <c:axId val="255369376"/>
        <c:axId val="255369936"/>
      </c:areaChart>
      <c:catAx>
        <c:axId val="255369376"/>
        <c:scaling>
          <c:orientation val="minMax"/>
        </c:scaling>
        <c:delete val="0"/>
        <c:axPos val="b"/>
        <c:numFmt formatCode="General" sourceLinked="1"/>
        <c:majorTickMark val="out"/>
        <c:minorTickMark val="none"/>
        <c:tickLblPos val="nextTo"/>
        <c:txPr>
          <a:bodyPr rot="-2700000"/>
          <a:lstStyle/>
          <a:p>
            <a:pPr>
              <a:defRPr/>
            </a:pPr>
            <a:endParaRPr lang="en-US"/>
          </a:p>
        </c:txPr>
        <c:crossAx val="255369936"/>
        <c:crosses val="autoZero"/>
        <c:auto val="1"/>
        <c:lblAlgn val="ctr"/>
        <c:lblOffset val="100"/>
        <c:noMultiLvlLbl val="0"/>
      </c:catAx>
      <c:valAx>
        <c:axId val="255369936"/>
        <c:scaling>
          <c:orientation val="minMax"/>
        </c:scaling>
        <c:delete val="0"/>
        <c:axPos val="l"/>
        <c:numFmt formatCode="#,##0" sourceLinked="0"/>
        <c:majorTickMark val="out"/>
        <c:minorTickMark val="none"/>
        <c:tickLblPos val="nextTo"/>
        <c:crossAx val="255369376"/>
        <c:crosses val="autoZero"/>
        <c:crossBetween val="midCat"/>
      </c:valAx>
    </c:plotArea>
    <c:legend>
      <c:legendPos val="r"/>
      <c:layout>
        <c:manualLayout>
          <c:xMode val="edge"/>
          <c:yMode val="edge"/>
          <c:x val="0.80255511811023605"/>
          <c:y val="0.48248651210265397"/>
          <c:w val="0.18633377077865301"/>
          <c:h val="0.18595290172061801"/>
        </c:manualLayout>
      </c:layout>
      <c:overlay val="0"/>
    </c:legend>
    <c:plotVisOnly val="1"/>
    <c:dispBlanksAs val="zero"/>
    <c:showDLblsOverMax val="0"/>
  </c:chart>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Rate Impacts</a:t>
            </a:r>
            <a:r>
              <a:rPr lang="en-US" baseline="0"/>
              <a:t> Breakdown</a:t>
            </a:r>
            <a:endParaRPr lang="en-US"/>
          </a:p>
        </c:rich>
      </c:tx>
      <c:overlay val="0"/>
    </c:title>
    <c:autoTitleDeleted val="0"/>
    <c:plotArea>
      <c:layout>
        <c:manualLayout>
          <c:layoutTarget val="inner"/>
          <c:xMode val="edge"/>
          <c:yMode val="edge"/>
          <c:x val="0.122988407699038"/>
          <c:y val="0.211111111111111"/>
          <c:w val="0.63534492563429601"/>
          <c:h val="0.70092592592592595"/>
        </c:manualLayout>
      </c:layout>
      <c:barChart>
        <c:barDir val="col"/>
        <c:grouping val="stacked"/>
        <c:varyColors val="0"/>
        <c:ser>
          <c:idx val="0"/>
          <c:order val="0"/>
          <c:tx>
            <c:strRef>
              <c:f>'Customer Calc'!$D$172</c:f>
              <c:strCache>
                <c:ptCount val="1"/>
                <c:pt idx="0">
                  <c:v>EE Program Cost Recovery</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Calc'!$G$172:$AF$172</c:f>
              <c:numCache>
                <c:formatCode>0.00%</c:formatCode>
                <c:ptCount val="26"/>
                <c:pt idx="0">
                  <c:v>0</c:v>
                </c:pt>
                <c:pt idx="1">
                  <c:v>5.6015742467968362E-3</c:v>
                </c:pt>
                <c:pt idx="2">
                  <c:v>5.5590499820069627E-3</c:v>
                </c:pt>
                <c:pt idx="3">
                  <c:v>5.5103201112136103E-3</c:v>
                </c:pt>
                <c:pt idx="4">
                  <c:v>5.4555801158171742E-3</c:v>
                </c:pt>
                <c:pt idx="5">
                  <c:v>5.3950582920563317E-3</c:v>
                </c:pt>
                <c:pt idx="6">
                  <c:v>5.3290131482362146E-3</c:v>
                </c:pt>
                <c:pt idx="7">
                  <c:v>5.2577304302648918E-3</c:v>
                </c:pt>
                <c:pt idx="8">
                  <c:v>5.181519842345419E-3</c:v>
                </c:pt>
                <c:pt idx="9">
                  <c:v>5.1007115353179583E-3</c:v>
                </c:pt>
                <c:pt idx="10">
                  <c:v>5.015652438204927E-3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'Customer Calc'!$D$173</c:f>
              <c:strCache>
                <c:ptCount val="1"/>
                <c:pt idx="0">
                  <c:v>Lost Fixed Cost Recovery</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Calc'!$G$173:$AF$173</c:f>
              <c:numCache>
                <c:formatCode>0.00%</c:formatCode>
                <c:ptCount val="26"/>
                <c:pt idx="0">
                  <c:v>0</c:v>
                </c:pt>
                <c:pt idx="1">
                  <c:v>1.4822091820027577E-3</c:v>
                </c:pt>
                <c:pt idx="2">
                  <c:v>2.9074131185669863E-3</c:v>
                </c:pt>
                <c:pt idx="3">
                  <c:v>4.2752763576040815E-3</c:v>
                </c:pt>
                <c:pt idx="4">
                  <c:v>5.5857037821292277E-3</c:v>
                </c:pt>
                <c:pt idx="5">
                  <c:v>6.8388388053233981E-3</c:v>
                </c:pt>
                <c:pt idx="6">
                  <c:v>8.0350583354048648E-3</c:v>
                </c:pt>
                <c:pt idx="7">
                  <c:v>9.1749646696776405E-3</c:v>
                </c:pt>
                <c:pt idx="8">
                  <c:v>1.0259374551978137E-2</c:v>
                </c:pt>
                <c:pt idx="9">
                  <c:v>1.1289305692505233E-2</c:v>
                </c:pt>
                <c:pt idx="10">
                  <c:v>1.2265961101444749E-2</c:v>
                </c:pt>
                <c:pt idx="11">
                  <c:v>1.1995016403645352E-2</c:v>
                </c:pt>
                <c:pt idx="12">
                  <c:v>1.1727709734070495E-2</c:v>
                </c:pt>
                <c:pt idx="13">
                  <c:v>1.1464445310734111E-2</c:v>
                </c:pt>
                <c:pt idx="14">
                  <c:v>1.1205590238361868E-2</c:v>
                </c:pt>
                <c:pt idx="15">
                  <c:v>1.0951473359721181E-2</c:v>
                </c:pt>
                <c:pt idx="16">
                  <c:v>1.070238466551174E-2</c:v>
                </c:pt>
                <c:pt idx="17">
                  <c:v>1.0458575230779581E-2</c:v>
                </c:pt>
                <c:pt idx="18">
                  <c:v>1.0220257636493034E-2</c:v>
                </c:pt>
                <c:pt idx="19">
                  <c:v>9.9876068277567828E-3</c:v>
                </c:pt>
                <c:pt idx="20">
                  <c:v>9.7607613551450503E-3</c:v>
                </c:pt>
                <c:pt idx="21">
                  <c:v>9.5398249427241701E-3</c:v>
                </c:pt>
                <c:pt idx="22">
                  <c:v>9.3248683253417571E-3</c:v>
                </c:pt>
                <c:pt idx="23">
                  <c:v>9.1159312984665612E-3</c:v>
                </c:pt>
                <c:pt idx="24">
                  <c:v>8.9130249260089434E-3</c:v>
                </c:pt>
                <c:pt idx="25">
                  <c:v>8.7161338548614326E-3</c:v>
                </c:pt>
              </c:numCache>
            </c:numRef>
          </c:val>
        </c:ser>
        <c:ser>
          <c:idx val="2"/>
          <c:order val="2"/>
          <c:tx>
            <c:strRef>
              <c:f>'Customer Calc'!$D$174</c:f>
              <c:strCache>
                <c:ptCount val="1"/>
                <c:pt idx="0">
                  <c:v>Use-Shift</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Calc'!$G$174:$AF$174</c:f>
              <c:numCache>
                <c:formatCode>0.00%</c:formatCode>
                <c:ptCount val="26"/>
                <c:pt idx="0">
                  <c:v>0</c:v>
                </c:pt>
                <c:pt idx="1">
                  <c:v>-1.7638119528082385E-3</c:v>
                </c:pt>
                <c:pt idx="2">
                  <c:v>-1.9207827997566791E-3</c:v>
                </c:pt>
                <c:pt idx="3">
                  <c:v>-2.0902766621650379E-3</c:v>
                </c:pt>
                <c:pt idx="4">
                  <c:v>-2.2732062217842679E-3</c:v>
                </c:pt>
                <c:pt idx="5">
                  <c:v>-2.4705577494827415E-3</c:v>
                </c:pt>
                <c:pt idx="6">
                  <c:v>-2.683400096420022E-3</c:v>
                </c:pt>
                <c:pt idx="7">
                  <c:v>-2.912895096944933E-3</c:v>
                </c:pt>
                <c:pt idx="8">
                  <c:v>-3.1603096062030331E-3</c:v>
                </c:pt>
                <c:pt idx="9">
                  <c:v>-3.4270294372275114E-3</c:v>
                </c:pt>
                <c:pt idx="10">
                  <c:v>-3.7145755144706162E-3</c:v>
                </c:pt>
                <c:pt idx="11">
                  <c:v>-9.3001783024145577E-4</c:v>
                </c:pt>
                <c:pt idx="12">
                  <c:v>-9.5440052546379715E-4</c:v>
                </c:pt>
                <c:pt idx="13">
                  <c:v>-9.7841450239632413E-4</c:v>
                </c:pt>
                <c:pt idx="14">
                  <c:v>-1.0020262751460145E-3</c:v>
                </c:pt>
                <c:pt idx="15">
                  <c:v>-1.0252058479288644E-3</c:v>
                </c:pt>
                <c:pt idx="16">
                  <c:v>-1.0479267688990723E-3</c:v>
                </c:pt>
                <c:pt idx="17">
                  <c:v>-1.070166135948486E-3</c:v>
                </c:pt>
                <c:pt idx="18">
                  <c:v>-1.0919045582513862E-3</c:v>
                </c:pt>
                <c:pt idx="19">
                  <c:v>-1.1131260779825914E-3</c:v>
                </c:pt>
                <c:pt idx="20">
                  <c:v>-1.1338180570869473E-3</c:v>
                </c:pt>
                <c:pt idx="21">
                  <c:v>-1.153971034250477E-3</c:v>
                </c:pt>
                <c:pt idx="22">
                  <c:v>-1.173578557309861E-3</c:v>
                </c:pt>
                <c:pt idx="23">
                  <c:v>-1.1926369962747599E-3</c:v>
                </c:pt>
                <c:pt idx="24">
                  <c:v>-1.2111453419368628E-3</c:v>
                </c:pt>
                <c:pt idx="25">
                  <c:v>-1.2291049947485398E-3</c:v>
                </c:pt>
              </c:numCache>
            </c:numRef>
          </c:val>
        </c:ser>
        <c:ser>
          <c:idx val="3"/>
          <c:order val="3"/>
          <c:tx>
            <c:strRef>
              <c:f>'Customer Calc'!$D$175</c:f>
              <c:strCache>
                <c:ptCount val="1"/>
                <c:pt idx="0">
                  <c:v>Incentive Recovery</c:v>
                </c:pt>
              </c:strCache>
            </c:strRef>
          </c:tx>
          <c:invertIfNegative val="0"/>
          <c:val>
            <c:numRef>
              <c:f>'Customer Calc'!$G$175:$AF$175</c:f>
              <c:numCache>
                <c:formatCode>0.00%</c:formatCode>
                <c:ptCount val="26"/>
                <c:pt idx="0">
                  <c:v>0</c:v>
                </c:pt>
                <c:pt idx="1">
                  <c:v>2.3058407604813926E-4</c:v>
                </c:pt>
                <c:pt idx="2">
                  <c:v>2.0800954575337638E-4</c:v>
                </c:pt>
                <c:pt idx="3">
                  <c:v>1.8616884602331375E-4</c:v>
                </c:pt>
                <c:pt idx="4">
                  <c:v>1.6509995941652164E-4</c:v>
                </c:pt>
                <c:pt idx="5">
                  <c:v>1.4483629824235507E-4</c:v>
                </c:pt>
                <c:pt idx="6">
                  <c:v>1.2540646262329175E-4</c:v>
                </c:pt>
                <c:pt idx="7">
                  <c:v>1.0683406998934605E-4</c:v>
                </c:pt>
                <c:pt idx="8">
                  <c:v>8.9137657484333806E-5</c:v>
                </c:pt>
                <c:pt idx="9">
                  <c:v>7.2330656852638938E-5</c:v>
                </c:pt>
                <c:pt idx="10">
                  <c:v>5.6421439554489107E-5</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150"/>
        <c:overlap val="100"/>
        <c:axId val="255373856"/>
        <c:axId val="255374416"/>
      </c:barChart>
      <c:catAx>
        <c:axId val="255373856"/>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255374416"/>
        <c:crosses val="autoZero"/>
        <c:auto val="1"/>
        <c:lblAlgn val="ctr"/>
        <c:lblOffset val="100"/>
        <c:noMultiLvlLbl val="0"/>
      </c:catAx>
      <c:valAx>
        <c:axId val="255374416"/>
        <c:scaling>
          <c:orientation val="minMax"/>
        </c:scaling>
        <c:delete val="0"/>
        <c:axPos val="l"/>
        <c:numFmt formatCode="0.00%" sourceLinked="1"/>
        <c:majorTickMark val="out"/>
        <c:minorTickMark val="none"/>
        <c:tickLblPos val="nextTo"/>
        <c:crossAx val="255373856"/>
        <c:crosses val="autoZero"/>
        <c:crossBetween val="between"/>
      </c:valAx>
    </c:plotArea>
    <c:legend>
      <c:legendPos val="r"/>
      <c:layout>
        <c:manualLayout>
          <c:xMode val="edge"/>
          <c:yMode val="edge"/>
          <c:x val="0.77221772196732896"/>
          <c:y val="0.24545692295028801"/>
          <c:w val="0.22778227803267101"/>
          <c:h val="0.52635267746592795"/>
        </c:manualLayout>
      </c:layout>
      <c:overlay val="0"/>
    </c:legend>
    <c:plotVisOnly val="1"/>
    <c:dispBlanksAs val="gap"/>
    <c:showDLblsOverMax val="0"/>
  </c:chart>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Rate Impacts</a:t>
            </a:r>
            <a:r>
              <a:rPr lang="en-US" baseline="0"/>
              <a:t> Breakdown</a:t>
            </a:r>
            <a:endParaRPr lang="en-US"/>
          </a:p>
        </c:rich>
      </c:tx>
      <c:overlay val="0"/>
    </c:title>
    <c:autoTitleDeleted val="0"/>
    <c:plotArea>
      <c:layout>
        <c:manualLayout>
          <c:layoutTarget val="inner"/>
          <c:xMode val="edge"/>
          <c:yMode val="edge"/>
          <c:x val="0.122988407699038"/>
          <c:y val="0.211111111111111"/>
          <c:w val="0.63534492563429601"/>
          <c:h val="0.65067913385826803"/>
        </c:manualLayout>
      </c:layout>
      <c:barChart>
        <c:barDir val="col"/>
        <c:grouping val="stacked"/>
        <c:varyColors val="0"/>
        <c:ser>
          <c:idx val="0"/>
          <c:order val="0"/>
          <c:tx>
            <c:strRef>
              <c:f>'Customer Calc'!$AJ$173</c:f>
              <c:strCache>
                <c:ptCount val="1"/>
                <c:pt idx="0">
                  <c:v>EE Program Cost Recovery</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Calc'!$AM$173:$BL$173</c:f>
              <c:numCache>
                <c:formatCode>0.00%</c:formatCode>
                <c:ptCount val="26"/>
                <c:pt idx="0">
                  <c:v>0</c:v>
                </c:pt>
                <c:pt idx="1">
                  <c:v>3.7686534906282354E-3</c:v>
                </c:pt>
                <c:pt idx="2">
                  <c:v>3.6858548883446944E-3</c:v>
                </c:pt>
                <c:pt idx="3">
                  <c:v>3.6025979079741957E-3</c:v>
                </c:pt>
                <c:pt idx="4">
                  <c:v>3.5191682542189988E-3</c:v>
                </c:pt>
                <c:pt idx="5">
                  <c:v>3.4358392312334898E-3</c:v>
                </c:pt>
                <c:pt idx="6">
                  <c:v>3.3528706985416139E-3</c:v>
                </c:pt>
                <c:pt idx="7">
                  <c:v>3.2705083243786729E-3</c:v>
                </c:pt>
                <c:pt idx="8">
                  <c:v>3.1889831266109711E-3</c:v>
                </c:pt>
                <c:pt idx="9">
                  <c:v>3.1085112878410583E-3</c:v>
                </c:pt>
                <c:pt idx="10">
                  <c:v>3.0292942289369337E-3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'Customer Calc'!$AJ$174</c:f>
              <c:strCache>
                <c:ptCount val="1"/>
                <c:pt idx="0">
                  <c:v>Lost Fixed Cost Recovery</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Calc'!$AM$174:$BL$174</c:f>
              <c:numCache>
                <c:formatCode>0.00%</c:formatCode>
                <c:ptCount val="26"/>
                <c:pt idx="0">
                  <c:v>0</c:v>
                </c:pt>
                <c:pt idx="1">
                  <c:v>1.5580145565681288E-3</c:v>
                </c:pt>
                <c:pt idx="2">
                  <c:v>3.1058593609227659E-3</c:v>
                </c:pt>
                <c:pt idx="3">
                  <c:v>4.6451073678963383E-3</c:v>
                </c:pt>
                <c:pt idx="4">
                  <c:v>6.177723220471049E-3</c:v>
                </c:pt>
                <c:pt idx="5">
                  <c:v>7.7060688541823706E-3</c:v>
                </c:pt>
                <c:pt idx="6">
                  <c:v>9.2329103579816135E-3</c:v>
                </c:pt>
                <c:pt idx="7">
                  <c:v>1.076142692141694E-2</c:v>
                </c:pt>
                <c:pt idx="8">
                  <c:v>1.2295222763224489E-2</c:v>
                </c:pt>
                <c:pt idx="9">
                  <c:v>1.3838343013489735E-2</c:v>
                </c:pt>
                <c:pt idx="10">
                  <c:v>1.5395294617427722E-2</c:v>
                </c:pt>
                <c:pt idx="11">
                  <c:v>1.486897773335784E-2</c:v>
                </c:pt>
                <c:pt idx="12">
                  <c:v>1.4363903081146392E-2</c:v>
                </c:pt>
                <c:pt idx="13">
                  <c:v>1.3879649511881016E-2</c:v>
                </c:pt>
                <c:pt idx="14">
                  <c:v>1.3415742862368737E-2</c:v>
                </c:pt>
                <c:pt idx="15">
                  <c:v>1.2971664153711277E-2</c:v>
                </c:pt>
                <c:pt idx="16">
                  <c:v>1.2546857344647083E-2</c:v>
                </c:pt>
                <c:pt idx="17">
                  <c:v>1.2140736588298671E-2</c:v>
                </c:pt>
                <c:pt idx="18">
                  <c:v>1.1752692957415725E-2</c:v>
                </c:pt>
                <c:pt idx="19">
                  <c:v>1.1382100617789079E-2</c:v>
                </c:pt>
                <c:pt idx="20">
                  <c:v>1.1028322442154386E-2</c:v>
                </c:pt>
                <c:pt idx="21">
                  <c:v>1.0690715067613783E-2</c:v>
                </c:pt>
                <c:pt idx="22">
                  <c:v>1.0368633408445621E-2</c:v>
                </c:pt>
                <c:pt idx="23">
                  <c:v>1.0061434643264535E-2</c:v>
                </c:pt>
                <c:pt idx="24">
                  <c:v>9.7684817009784323E-3</c:v>
                </c:pt>
                <c:pt idx="25">
                  <c:v>9.4891462740350485E-3</c:v>
                </c:pt>
              </c:numCache>
            </c:numRef>
          </c:val>
        </c:ser>
        <c:ser>
          <c:idx val="2"/>
          <c:order val="2"/>
          <c:tx>
            <c:strRef>
              <c:f>'Customer Calc'!$AJ$175</c:f>
              <c:strCache>
                <c:ptCount val="1"/>
                <c:pt idx="0">
                  <c:v>Use-Shift</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Calc'!$AM$175:$BL$175</c:f>
              <c:numCache>
                <c:formatCode>0.00%</c:formatCode>
                <c:ptCount val="26"/>
                <c:pt idx="0">
                  <c:v>0</c:v>
                </c:pt>
                <c:pt idx="1">
                  <c:v>-3.379419760729942E-3</c:v>
                </c:pt>
                <c:pt idx="2">
                  <c:v>-3.6142810303926107E-3</c:v>
                </c:pt>
                <c:pt idx="3">
                  <c:v>-3.8638694530910771E-3</c:v>
                </c:pt>
                <c:pt idx="4">
                  <c:v>-4.1291920697997982E-3</c:v>
                </c:pt>
                <c:pt idx="5">
                  <c:v>-4.4113525171102369E-3</c:v>
                </c:pt>
                <c:pt idx="6">
                  <c:v>-4.7115625306904906E-3</c:v>
                </c:pt>
                <c:pt idx="7">
                  <c:v>-5.0311549873916939E-3</c:v>
                </c:pt>
                <c:pt idx="8">
                  <c:v>-5.37159875191889E-3</c:v>
                </c:pt>
                <c:pt idx="9">
                  <c:v>-5.7345156485540645E-3</c:v>
                </c:pt>
                <c:pt idx="10">
                  <c:v>-6.1216999451668749E-3</c:v>
                </c:pt>
                <c:pt idx="11">
                  <c:v>-1.510153385638407E-3</c:v>
                </c:pt>
                <c:pt idx="12">
                  <c:v>-1.5276132574697685E-3</c:v>
                </c:pt>
                <c:pt idx="13">
                  <c:v>-1.5443533675033678E-3</c:v>
                </c:pt>
                <c:pt idx="14">
                  <c:v>-1.560390107036689E-3</c:v>
                </c:pt>
                <c:pt idx="15">
                  <c:v>-1.5757414165950868E-3</c:v>
                </c:pt>
                <c:pt idx="16">
                  <c:v>-1.5904265179099402E-3</c:v>
                </c:pt>
                <c:pt idx="17">
                  <c:v>-1.6044656630599136E-3</c:v>
                </c:pt>
                <c:pt idx="18">
                  <c:v>-1.6178799019857699E-3</c:v>
                </c:pt>
                <c:pt idx="19">
                  <c:v>-1.6306908690839612E-3</c:v>
                </c:pt>
                <c:pt idx="20">
                  <c:v>-1.642920589138944E-3</c:v>
                </c:pt>
                <c:pt idx="21">
                  <c:v>-1.6545913024940003E-3</c:v>
                </c:pt>
                <c:pt idx="22">
                  <c:v>-1.6657253090484011E-3</c:v>
                </c:pt>
                <c:pt idx="23">
                  <c:v>-1.6763448304269555E-3</c:v>
                </c:pt>
                <c:pt idx="24">
                  <c:v>-1.6864718894715109E-3</c:v>
                </c:pt>
                <c:pt idx="25">
                  <c:v>-1.6961282060795196E-3</c:v>
                </c:pt>
              </c:numCache>
            </c:numRef>
          </c:val>
        </c:ser>
        <c:ser>
          <c:idx val="3"/>
          <c:order val="3"/>
          <c:tx>
            <c:strRef>
              <c:f>'Customer Calc'!$AJ$176</c:f>
              <c:strCache>
                <c:ptCount val="1"/>
                <c:pt idx="0">
                  <c:v>Incentive Recovery</c:v>
                </c:pt>
              </c:strCache>
            </c:strRef>
          </c:tx>
          <c:invertIfNegative val="0"/>
          <c:val>
            <c:numRef>
              <c:f>'Customer Calc'!$AM$176:$BL$176</c:f>
              <c:numCache>
                <c:formatCode>0.00%</c:formatCode>
                <c:ptCount val="26"/>
                <c:pt idx="0">
                  <c:v>0</c:v>
                </c:pt>
                <c:pt idx="1">
                  <c:v>3.2486699502747617E-3</c:v>
                </c:pt>
                <c:pt idx="2">
                  <c:v>3.1930600905314718E-3</c:v>
                </c:pt>
                <c:pt idx="3">
                  <c:v>3.1376891498765451E-3</c:v>
                </c:pt>
                <c:pt idx="4">
                  <c:v>3.0827224068240766E-3</c:v>
                </c:pt>
                <c:pt idx="5">
                  <c:v>3.0283185077367922E-3</c:v>
                </c:pt>
                <c:pt idx="6">
                  <c:v>2.9746292074748553E-3</c:v>
                </c:pt>
                <c:pt idx="7">
                  <c:v>2.9217992887262401E-3</c:v>
                </c:pt>
                <c:pt idx="8">
                  <c:v>2.8699666556972745E-3</c:v>
                </c:pt>
                <c:pt idx="9">
                  <c:v>2.8192625970187082E-3</c:v>
                </c:pt>
                <c:pt idx="10">
                  <c:v>2.7698122126988954E-3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150"/>
        <c:overlap val="100"/>
        <c:axId val="255378896"/>
        <c:axId val="255379456"/>
      </c:barChart>
      <c:catAx>
        <c:axId val="255378896"/>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255379456"/>
        <c:crosses val="autoZero"/>
        <c:auto val="1"/>
        <c:lblAlgn val="ctr"/>
        <c:lblOffset val="100"/>
        <c:noMultiLvlLbl val="0"/>
      </c:catAx>
      <c:valAx>
        <c:axId val="255379456"/>
        <c:scaling>
          <c:orientation val="minMax"/>
        </c:scaling>
        <c:delete val="0"/>
        <c:axPos val="l"/>
        <c:numFmt formatCode="0.00%" sourceLinked="1"/>
        <c:majorTickMark val="out"/>
        <c:minorTickMark val="none"/>
        <c:tickLblPos val="nextTo"/>
        <c:crossAx val="255378896"/>
        <c:crosses val="autoZero"/>
        <c:crossBetween val="between"/>
      </c:valAx>
    </c:plotArea>
    <c:legend>
      <c:legendPos val="r"/>
      <c:layout>
        <c:manualLayout>
          <c:xMode val="edge"/>
          <c:yMode val="edge"/>
          <c:x val="0.76111111111111096"/>
          <c:y val="0.24104608423451601"/>
          <c:w val="0.211111111111111"/>
          <c:h val="0.56647394427270004"/>
        </c:manualLayout>
      </c:layout>
      <c:overlay val="0"/>
    </c:legend>
    <c:plotVisOnly val="1"/>
    <c:dispBlanksAs val="gap"/>
    <c:showDLblsOverMax val="0"/>
  </c:chart>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Rate Impacts</a:t>
            </a:r>
            <a:r>
              <a:rPr lang="en-US" baseline="0"/>
              <a:t> Breakdown</a:t>
            </a:r>
            <a:endParaRPr lang="en-US"/>
          </a:p>
        </c:rich>
      </c:tx>
      <c:overlay val="0"/>
    </c:title>
    <c:autoTitleDeleted val="0"/>
    <c:plotArea>
      <c:layout>
        <c:manualLayout>
          <c:layoutTarget val="inner"/>
          <c:xMode val="edge"/>
          <c:yMode val="edge"/>
          <c:x val="0.122988407699038"/>
          <c:y val="0.211111111111111"/>
          <c:w val="0.63534492563429601"/>
          <c:h val="0.65067913385826803"/>
        </c:manualLayout>
      </c:layout>
      <c:barChart>
        <c:barDir val="col"/>
        <c:grouping val="stacked"/>
        <c:varyColors val="0"/>
        <c:ser>
          <c:idx val="0"/>
          <c:order val="0"/>
          <c:tx>
            <c:strRef>
              <c:f>'Customer Calc'!$BP$25</c:f>
              <c:strCache>
                <c:ptCount val="1"/>
                <c:pt idx="0">
                  <c:v>EE Program Cost Recovery</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Calc'!$BR$25:$CQ$25</c:f>
              <c:numCache>
                <c:formatCode>0.00%</c:formatCode>
                <c:ptCount val="26"/>
                <c:pt idx="0">
                  <c:v>0</c:v>
                </c:pt>
                <c:pt idx="1">
                  <c:v>4.633295053120612E-3</c:v>
                </c:pt>
                <c:pt idx="2">
                  <c:v>4.5632673853129224E-3</c:v>
                </c:pt>
                <c:pt idx="3">
                  <c:v>4.4901107747776468E-3</c:v>
                </c:pt>
                <c:pt idx="4">
                  <c:v>4.4141597086451269E-3</c:v>
                </c:pt>
                <c:pt idx="5">
                  <c:v>4.3357535606311963E-3</c:v>
                </c:pt>
                <c:pt idx="6">
                  <c:v>4.255233446393788E-3</c:v>
                </c:pt>
                <c:pt idx="7">
                  <c:v>4.1729392586474529E-3</c:v>
                </c:pt>
                <c:pt idx="8">
                  <c:v>4.0892069264901994E-3</c:v>
                </c:pt>
                <c:pt idx="9">
                  <c:v>4.0043659347672586E-3</c:v>
                </c:pt>
                <c:pt idx="10">
                  <c:v>3.9187371304824099E-3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'Customer Calc'!$BP$26</c:f>
              <c:strCache>
                <c:ptCount val="1"/>
                <c:pt idx="0">
                  <c:v>Lost Fixed Cost Recovery</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Calc'!$BR$26:$CQ$26</c:f>
              <c:numCache>
                <c:formatCode>0.00%</c:formatCode>
                <c:ptCount val="26"/>
                <c:pt idx="0">
                  <c:v>0</c:v>
                </c:pt>
                <c:pt idx="1">
                  <c:v>1.5222549759703666E-3</c:v>
                </c:pt>
                <c:pt idx="2">
                  <c:v>3.0129063024781555E-3</c:v>
                </c:pt>
                <c:pt idx="3">
                  <c:v>4.4730541309942647E-3</c:v>
                </c:pt>
                <c:pt idx="4">
                  <c:v>5.9040973722319324E-3</c:v>
                </c:pt>
                <c:pt idx="5">
                  <c:v>7.3077301673768781E-3</c:v>
                </c:pt>
                <c:pt idx="6">
                  <c:v>8.6859371158554289E-3</c:v>
                </c:pt>
                <c:pt idx="7">
                  <c:v>1.0040987767797126E-2</c:v>
                </c:pt>
                <c:pt idx="8">
                  <c:v>1.1375430922886939E-2</c:v>
                </c:pt>
                <c:pt idx="9">
                  <c:v>1.2692089301251522E-2</c:v>
                </c:pt>
                <c:pt idx="10">
                  <c:v>1.399405516858475E-2</c:v>
                </c:pt>
                <c:pt idx="11">
                  <c:v>1.3590924526638695E-2</c:v>
                </c:pt>
                <c:pt idx="12">
                  <c:v>1.3199401613550524E-2</c:v>
                </c:pt>
                <c:pt idx="13">
                  <c:v>1.2819660188571565E-2</c:v>
                </c:pt>
                <c:pt idx="14">
                  <c:v>1.2451809259116178E-2</c:v>
                </c:pt>
                <c:pt idx="15">
                  <c:v>1.2095897178489927E-2</c:v>
                </c:pt>
                <c:pt idx="16">
                  <c:v>1.1751916069696512E-2</c:v>
                </c:pt>
                <c:pt idx="17">
                  <c:v>1.1419806470421691E-2</c:v>
                </c:pt>
                <c:pt idx="18">
                  <c:v>1.1099462102508071E-2</c:v>
                </c:pt>
                <c:pt idx="19">
                  <c:v>1.0790734678853147E-2</c:v>
                </c:pt>
                <c:pt idx="20">
                  <c:v>1.0493438671157087E-2</c:v>
                </c:pt>
                <c:pt idx="21">
                  <c:v>1.0207355972847445E-2</c:v>
                </c:pt>
                <c:pt idx="22">
                  <c:v>9.9322404024112659E-3</c:v>
                </c:pt>
                <c:pt idx="23">
                  <c:v>9.6678220029409907E-3</c:v>
                </c:pt>
                <c:pt idx="24">
                  <c:v>9.4138111036875839E-3</c:v>
                </c:pt>
                <c:pt idx="25">
                  <c:v>9.1699021186247166E-3</c:v>
                </c:pt>
              </c:numCache>
            </c:numRef>
          </c:val>
        </c:ser>
        <c:ser>
          <c:idx val="2"/>
          <c:order val="2"/>
          <c:tx>
            <c:strRef>
              <c:f>'Customer Calc'!$BP$27</c:f>
              <c:strCache>
                <c:ptCount val="1"/>
                <c:pt idx="0">
                  <c:v>Use-Shift</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Calc'!$BR$27:$CQ$27</c:f>
              <c:numCache>
                <c:formatCode>0.00%</c:formatCode>
                <c:ptCount val="26"/>
                <c:pt idx="0">
                  <c:v>0</c:v>
                </c:pt>
                <c:pt idx="1">
                  <c:v>-2.6172909809040624E-3</c:v>
                </c:pt>
                <c:pt idx="2">
                  <c:v>-2.8210393033664713E-3</c:v>
                </c:pt>
                <c:pt idx="3">
                  <c:v>-3.0387564362462662E-3</c:v>
                </c:pt>
                <c:pt idx="4">
                  <c:v>-3.2713727667622785E-3</c:v>
                </c:pt>
                <c:pt idx="5">
                  <c:v>-3.5199008888913124E-3</c:v>
                </c:pt>
                <c:pt idx="6">
                  <c:v>-3.785445980964185E-3</c:v>
                </c:pt>
                <c:pt idx="7">
                  <c:v>-4.069217594335435E-3</c:v>
                </c:pt>
                <c:pt idx="8">
                  <c:v>-4.3725430749677789E-3</c:v>
                </c:pt>
                <c:pt idx="9">
                  <c:v>-4.69688288661004E-3</c:v>
                </c:pt>
                <c:pt idx="10">
                  <c:v>-5.043848161923571E-3</c:v>
                </c:pt>
                <c:pt idx="11">
                  <c:v>-1.2521665786339297E-3</c:v>
                </c:pt>
                <c:pt idx="12">
                  <c:v>-1.2744045660792072E-3</c:v>
                </c:pt>
                <c:pt idx="13">
                  <c:v>-1.295973063107381E-3</c:v>
                </c:pt>
                <c:pt idx="14">
                  <c:v>-1.3168659021677448E-3</c:v>
                </c:pt>
                <c:pt idx="15">
                  <c:v>-1.3370803598489055E-3</c:v>
                </c:pt>
                <c:pt idx="16">
                  <c:v>-1.3566169055381099E-3</c:v>
                </c:pt>
                <c:pt idx="17">
                  <c:v>-1.3754789375354662E-3</c:v>
                </c:pt>
                <c:pt idx="18">
                  <c:v>-1.3936725121162347E-3</c:v>
                </c:pt>
                <c:pt idx="19">
                  <c:v>-1.4112060704870801E-3</c:v>
                </c:pt>
                <c:pt idx="20">
                  <c:v>-1.4280901679789425E-3</c:v>
                </c:pt>
                <c:pt idx="21">
                  <c:v>-1.444337209208527E-3</c:v>
                </c:pt>
                <c:pt idx="22">
                  <c:v>-1.459961192315773E-3</c:v>
                </c:pt>
                <c:pt idx="23">
                  <c:v>-1.4749774647869003E-3</c:v>
                </c:pt>
                <c:pt idx="24">
                  <c:v>-1.4894024927993963E-3</c:v>
                </c:pt>
                <c:pt idx="25">
                  <c:v>-1.5032536455158389E-3</c:v>
                </c:pt>
              </c:numCache>
            </c:numRef>
          </c:val>
        </c:ser>
        <c:ser>
          <c:idx val="3"/>
          <c:order val="3"/>
          <c:tx>
            <c:strRef>
              <c:f>'Customer Calc'!$BP$28</c:f>
              <c:strCache>
                <c:ptCount val="1"/>
                <c:pt idx="0">
                  <c:v>Incentive Recovery</c:v>
                </c:pt>
              </c:strCache>
            </c:strRef>
          </c:tx>
          <c:invertIfNegative val="0"/>
          <c:val>
            <c:numRef>
              <c:f>'Customer Calc'!$BR$28:$CQ$28</c:f>
              <c:numCache>
                <c:formatCode>0.00%</c:formatCode>
                <c:ptCount val="26"/>
                <c:pt idx="0">
                  <c:v>0</c:v>
                </c:pt>
                <c:pt idx="1">
                  <c:v>1.8249518341231889E-3</c:v>
                </c:pt>
                <c:pt idx="2">
                  <c:v>1.7948498021682364E-3</c:v>
                </c:pt>
                <c:pt idx="3">
                  <c:v>1.7645792485223009E-3</c:v>
                </c:pt>
                <c:pt idx="4">
                  <c:v>1.7342245952498005E-3</c:v>
                </c:pt>
                <c:pt idx="5">
                  <c:v>1.7038688784045881E-3</c:v>
                </c:pt>
                <c:pt idx="6">
                  <c:v>1.6735932089391703E-3</c:v>
                </c:pt>
                <c:pt idx="7">
                  <c:v>1.6434763047203907E-3</c:v>
                </c:pt>
                <c:pt idx="8">
                  <c:v>1.6135940991379532E-3</c:v>
                </c:pt>
                <c:pt idx="9">
                  <c:v>1.5840194298198189E-3</c:v>
                </c:pt>
                <c:pt idx="10">
                  <c:v>1.5548218091393767E-3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150"/>
        <c:overlap val="100"/>
        <c:axId val="255383936"/>
        <c:axId val="255797312"/>
      </c:barChart>
      <c:catAx>
        <c:axId val="255383936"/>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255797312"/>
        <c:crosses val="autoZero"/>
        <c:auto val="1"/>
        <c:lblAlgn val="ctr"/>
        <c:lblOffset val="100"/>
        <c:noMultiLvlLbl val="0"/>
      </c:catAx>
      <c:valAx>
        <c:axId val="255797312"/>
        <c:scaling>
          <c:orientation val="minMax"/>
        </c:scaling>
        <c:delete val="0"/>
        <c:axPos val="l"/>
        <c:numFmt formatCode="0.00%" sourceLinked="1"/>
        <c:majorTickMark val="out"/>
        <c:minorTickMark val="none"/>
        <c:tickLblPos val="nextTo"/>
        <c:crossAx val="255383936"/>
        <c:crosses val="autoZero"/>
        <c:crossBetween val="between"/>
      </c:valAx>
    </c:plotArea>
    <c:legend>
      <c:legendPos val="r"/>
      <c:layout>
        <c:manualLayout>
          <c:xMode val="edge"/>
          <c:yMode val="edge"/>
          <c:x val="0.76111111111111096"/>
          <c:y val="0.23222440680297199"/>
          <c:w val="0.23888894850102599"/>
          <c:h val="0.53958519361324397"/>
        </c:manualLayout>
      </c:layout>
      <c:overlay val="0"/>
    </c:legend>
    <c:plotVisOnly val="1"/>
    <c:dispBlanksAs val="gap"/>
    <c:showDLblsOverMax val="0"/>
  </c:chart>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a:t>After-tax Earnings Comparison</a:t>
            </a:r>
          </a:p>
        </c:rich>
      </c:tx>
      <c:overlay val="0"/>
      <c:spPr>
        <a:noFill/>
        <a:ln w="25400">
          <a:noFill/>
        </a:ln>
      </c:spPr>
    </c:title>
    <c:autoTitleDeleted val="0"/>
    <c:plotArea>
      <c:layout>
        <c:manualLayout>
          <c:layoutTarget val="inner"/>
          <c:xMode val="edge"/>
          <c:yMode val="edge"/>
          <c:x val="0.26504355097205801"/>
          <c:y val="0.32645142540573402"/>
          <c:w val="0.688289763779528"/>
          <c:h val="0.52922794685266406"/>
        </c:manualLayout>
      </c:layout>
      <c:lineChart>
        <c:grouping val="standard"/>
        <c:varyColors val="0"/>
        <c:ser>
          <c:idx val="0"/>
          <c:order val="0"/>
          <c:tx>
            <c:strRef>
              <c:f>'Utility Calc'!$C$66</c:f>
              <c:strCache>
                <c:ptCount val="1"/>
                <c:pt idx="0">
                  <c:v>After-tax Earnings - Base Case</c:v>
                </c:pt>
              </c:strCache>
            </c:strRef>
          </c:tx>
          <c:spPr>
            <a:ln w="38100">
              <a:solidFill>
                <a:srgbClr val="666699"/>
              </a:solidFill>
              <a:prstDash val="solid"/>
            </a:ln>
          </c:spPr>
          <c:marker>
            <c:symbol val="none"/>
          </c:marker>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Calc'!$G$66:$AF$66</c:f>
              <c:numCache>
                <c:formatCode>_("$"* #,##0_);_("$"* \(#,##0\);_("$"* "-"??_);_(@_)</c:formatCode>
                <c:ptCount val="26"/>
                <c:pt idx="0">
                  <c:v>1185657829.9668493</c:v>
                </c:pt>
                <c:pt idx="1">
                  <c:v>1237850502.8324761</c:v>
                </c:pt>
                <c:pt idx="2">
                  <c:v>1266903469.2028508</c:v>
                </c:pt>
                <c:pt idx="3">
                  <c:v>1297752471.837425</c:v>
                </c:pt>
                <c:pt idx="4">
                  <c:v>1330516544.7459149</c:v>
                </c:pt>
                <c:pt idx="5">
                  <c:v>1365322660.3119092</c:v>
                </c:pt>
                <c:pt idx="6">
                  <c:v>1402306262.636893</c:v>
                </c:pt>
                <c:pt idx="7">
                  <c:v>1441611836.9109249</c:v>
                </c:pt>
                <c:pt idx="8">
                  <c:v>1483393517.2434747</c:v>
                </c:pt>
                <c:pt idx="9">
                  <c:v>1527815735.5514896</c:v>
                </c:pt>
                <c:pt idx="10">
                  <c:v>1575053914.276454</c:v>
                </c:pt>
                <c:pt idx="11">
                  <c:v>1625295205.8887329</c:v>
                </c:pt>
                <c:pt idx="12">
                  <c:v>1678739282.3366129</c:v>
                </c:pt>
                <c:pt idx="13">
                  <c:v>1735599177.8102567</c:v>
                </c:pt>
                <c:pt idx="14">
                  <c:v>1796102188.4180052</c:v>
                </c:pt>
                <c:pt idx="15">
                  <c:v>1860490832.6152959</c:v>
                </c:pt>
                <c:pt idx="16">
                  <c:v>1929023876.485827</c:v>
                </c:pt>
                <c:pt idx="17">
                  <c:v>2001977428.2519035</c:v>
                </c:pt>
                <c:pt idx="18">
                  <c:v>2079646106.6871021</c:v>
                </c:pt>
                <c:pt idx="19">
                  <c:v>2162344288.4210472</c:v>
                </c:pt>
                <c:pt idx="20">
                  <c:v>2250407439.4644418</c:v>
                </c:pt>
                <c:pt idx="21">
                  <c:v>2344193536.6442547</c:v>
                </c:pt>
                <c:pt idx="22">
                  <c:v>2444084585.025496</c:v>
                </c:pt>
                <c:pt idx="23">
                  <c:v>2550488237.8091292</c:v>
                </c:pt>
                <c:pt idx="24">
                  <c:v>2663839525.6374149</c:v>
                </c:pt>
                <c:pt idx="25">
                  <c:v>2784602702.7097378</c:v>
                </c:pt>
              </c:numCache>
            </c:numRef>
          </c:val>
          <c:smooth val="0"/>
        </c:ser>
        <c:ser>
          <c:idx val="1"/>
          <c:order val="1"/>
          <c:tx>
            <c:strRef>
              <c:f>'Utility Calc'!$C$67</c:f>
              <c:strCache>
                <c:ptCount val="1"/>
                <c:pt idx="0">
                  <c:v>After-tax Earnings - EE Case</c:v>
                </c:pt>
              </c:strCache>
            </c:strRef>
          </c:tx>
          <c:spPr>
            <a:ln w="38100">
              <a:solidFill>
                <a:srgbClr val="DD2D32"/>
              </a:solidFill>
              <a:prstDash val="solid"/>
            </a:ln>
          </c:spPr>
          <c:marker>
            <c:symbol val="none"/>
          </c:marker>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Calc'!$G$67:$AF$67</c:f>
              <c:numCache>
                <c:formatCode>_("$"* #,##0_);_("$"* \(#,##0\);_("$"* "-"??_);_(@_)</c:formatCode>
                <c:ptCount val="26"/>
                <c:pt idx="0">
                  <c:v>1185657829.9668493</c:v>
                </c:pt>
                <c:pt idx="1">
                  <c:v>1230934728.1210544</c:v>
                </c:pt>
                <c:pt idx="2">
                  <c:v>1258682760.6576667</c:v>
                </c:pt>
                <c:pt idx="3">
                  <c:v>1288054122.1646724</c:v>
                </c:pt>
                <c:pt idx="4">
                  <c:v>1319144591.7678859</c:v>
                </c:pt>
                <c:pt idx="5">
                  <c:v>1352054668.419889</c:v>
                </c:pt>
                <c:pt idx="6">
                  <c:v>1386889642.3146341</c:v>
                </c:pt>
                <c:pt idx="7">
                  <c:v>1423759632.5831094</c:v>
                </c:pt>
                <c:pt idx="8">
                  <c:v>1462779582.3799033</c:v>
                </c:pt>
                <c:pt idx="9">
                  <c:v>1504069200.5984383</c:v>
                </c:pt>
                <c:pt idx="10">
                  <c:v>1547752837.1743309</c:v>
                </c:pt>
                <c:pt idx="11">
                  <c:v>1617346029.2912953</c:v>
                </c:pt>
                <c:pt idx="12">
                  <c:v>1670167489.8343925</c:v>
                </c:pt>
                <c:pt idx="13">
                  <c:v>1726355991.0430694</c:v>
                </c:pt>
                <c:pt idx="14">
                  <c:v>1786135006.5575194</c:v>
                </c:pt>
                <c:pt idx="15">
                  <c:v>1849742932.7449269</c:v>
                </c:pt>
                <c:pt idx="16">
                  <c:v>1917434090.4891942</c:v>
                </c:pt>
                <c:pt idx="17">
                  <c:v>1989479794.3675935</c:v>
                </c:pt>
                <c:pt idx="18">
                  <c:v>2066169493.7429235</c:v>
                </c:pt>
                <c:pt idx="19">
                  <c:v>2147811990.6050649</c:v>
                </c:pt>
                <c:pt idx="20">
                  <c:v>2234736739.3221021</c:v>
                </c:pt>
                <c:pt idx="21">
                  <c:v>2327295233.8095012</c:v>
                </c:pt>
                <c:pt idx="22">
                  <c:v>2425862487.9984031</c:v>
                </c:pt>
                <c:pt idx="23">
                  <c:v>2530838615.8816009</c:v>
                </c:pt>
                <c:pt idx="24">
                  <c:v>2642650517.8412991</c:v>
                </c:pt>
                <c:pt idx="25">
                  <c:v>2761753680.4162488</c:v>
                </c:pt>
              </c:numCache>
            </c:numRef>
          </c:val>
          <c:smooth val="0"/>
        </c:ser>
        <c:dLbls>
          <c:showLegendKey val="0"/>
          <c:showVal val="0"/>
          <c:showCatName val="0"/>
          <c:showSerName val="0"/>
          <c:showPercent val="0"/>
          <c:showBubbleSize val="0"/>
        </c:dLbls>
        <c:smooth val="0"/>
        <c:axId val="255801792"/>
        <c:axId val="255802352"/>
      </c:lineChart>
      <c:catAx>
        <c:axId val="25580179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Year</a:t>
                </a:r>
              </a:p>
            </c:rich>
          </c:tx>
          <c:overlay val="0"/>
          <c:spPr>
            <a:noFill/>
            <a:ln w="25400">
              <a:noFill/>
            </a:ln>
          </c:spPr>
        </c:title>
        <c:numFmt formatCode="General" sourceLinked="0"/>
        <c:majorTickMark val="out"/>
        <c:minorTickMark val="none"/>
        <c:tickLblPos val="nextTo"/>
        <c:spPr>
          <a:ln w="3175">
            <a:solidFill>
              <a:srgbClr val="808080"/>
            </a:solidFill>
            <a:prstDash val="solid"/>
          </a:ln>
        </c:spPr>
        <c:crossAx val="255802352"/>
        <c:crosses val="autoZero"/>
        <c:auto val="1"/>
        <c:lblAlgn val="ctr"/>
        <c:lblOffset val="100"/>
        <c:noMultiLvlLbl val="0"/>
      </c:catAx>
      <c:valAx>
        <c:axId val="255802352"/>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5801792"/>
        <c:crosses val="autoZero"/>
        <c:crossBetween val="between"/>
      </c:valAx>
      <c:spPr>
        <a:solidFill>
          <a:srgbClr val="FFFFFF"/>
        </a:solidFill>
        <a:ln w="25400">
          <a:noFill/>
        </a:ln>
      </c:spPr>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a:t>ROE Comparison</a:t>
            </a:r>
          </a:p>
        </c:rich>
      </c:tx>
      <c:overlay val="0"/>
      <c:spPr>
        <a:noFill/>
        <a:ln w="25400">
          <a:noFill/>
        </a:ln>
      </c:spPr>
    </c:title>
    <c:autoTitleDeleted val="0"/>
    <c:plotArea>
      <c:layout>
        <c:manualLayout>
          <c:layoutTarget val="inner"/>
          <c:xMode val="edge"/>
          <c:yMode val="edge"/>
          <c:x val="0.20579988477050101"/>
          <c:y val="0.28769903762029703"/>
          <c:w val="0.73088240609268096"/>
          <c:h val="0.58863735783027105"/>
        </c:manualLayout>
      </c:layout>
      <c:lineChart>
        <c:grouping val="standard"/>
        <c:varyColors val="0"/>
        <c:ser>
          <c:idx val="0"/>
          <c:order val="0"/>
          <c:tx>
            <c:strRef>
              <c:f>'Utility Calc'!$C$68</c:f>
              <c:strCache>
                <c:ptCount val="1"/>
                <c:pt idx="0">
                  <c:v>ROE w/o EE</c:v>
                </c:pt>
              </c:strCache>
            </c:strRef>
          </c:tx>
          <c:spPr>
            <a:ln w="38100">
              <a:solidFill>
                <a:srgbClr val="666699"/>
              </a:solidFill>
              <a:prstDash val="sysDash"/>
            </a:ln>
          </c:spPr>
          <c:marker>
            <c:symbol val="none"/>
          </c:marker>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Calc'!$G$68:$AF$68</c:f>
              <c:numCache>
                <c:formatCode>0.00%</c:formatCode>
                <c:ptCount val="26"/>
                <c:pt idx="0">
                  <c:v>0.11274262634591825</c:v>
                </c:pt>
                <c:pt idx="1">
                  <c:v>0.1128644854351277</c:v>
                </c:pt>
                <c:pt idx="2">
                  <c:v>0.11297934188933961</c:v>
                </c:pt>
                <c:pt idx="3">
                  <c:v>0.11309963337115751</c:v>
                </c:pt>
                <c:pt idx="4">
                  <c:v>0.11322538434063127</c:v>
                </c:pt>
                <c:pt idx="5">
                  <c:v>0.11335660413794044</c:v>
                </c:pt>
                <c:pt idx="6">
                  <c:v>0.11349328658702997</c:v>
                </c:pt>
                <c:pt idx="7">
                  <c:v>0.1136354097497584</c:v>
                </c:pt>
                <c:pt idx="8">
                  <c:v>0.11378293584042144</c:v>
                </c:pt>
                <c:pt idx="9">
                  <c:v>0.11393581130768801</c:v>
                </c:pt>
                <c:pt idx="10">
                  <c:v>0.11409396708784088</c:v>
                </c:pt>
                <c:pt idx="11">
                  <c:v>0.11425731902982689</c:v>
                </c:pt>
                <c:pt idx="12">
                  <c:v>0.11442576848909682</c:v>
                </c:pt>
                <c:pt idx="13">
                  <c:v>0.11459920308367065</c:v>
                </c:pt>
                <c:pt idx="14">
                  <c:v>0.1147774976024083</c:v>
                </c:pt>
                <c:pt idx="15">
                  <c:v>0.11496051505222719</c:v>
                </c:pt>
                <c:pt idx="16">
                  <c:v>0.11514810782808443</c:v>
                </c:pt>
                <c:pt idx="17">
                  <c:v>0.11534011898705014</c:v>
                </c:pt>
                <c:pt idx="18">
                  <c:v>0.11553638360580476</c:v>
                </c:pt>
                <c:pt idx="19">
                  <c:v>0.11573673019947225</c:v>
                </c:pt>
                <c:pt idx="20">
                  <c:v>0.11594098217888327</c:v>
                </c:pt>
                <c:pt idx="21">
                  <c:v>0.11614895932317103</c:v>
                </c:pt>
                <c:pt idx="22">
                  <c:v>0.11636047924501418</c:v>
                </c:pt>
                <c:pt idx="23">
                  <c:v>0.11657535882682742</c:v>
                </c:pt>
                <c:pt idx="24">
                  <c:v>0.11679341560770898</c:v>
                </c:pt>
                <c:pt idx="25">
                  <c:v>0.11701446910289749</c:v>
                </c:pt>
              </c:numCache>
            </c:numRef>
          </c:val>
          <c:smooth val="0"/>
        </c:ser>
        <c:ser>
          <c:idx val="1"/>
          <c:order val="1"/>
          <c:tx>
            <c:strRef>
              <c:f>'Utility Calc'!$C$69</c:f>
              <c:strCache>
                <c:ptCount val="1"/>
                <c:pt idx="0">
                  <c:v>ROE w/ EE</c:v>
                </c:pt>
              </c:strCache>
            </c:strRef>
          </c:tx>
          <c:spPr>
            <a:ln w="38100">
              <a:solidFill>
                <a:srgbClr val="DD2D32"/>
              </a:solidFill>
              <a:prstDash val="lgDashDot"/>
            </a:ln>
          </c:spPr>
          <c:marker>
            <c:symbol val="none"/>
          </c:marker>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Calc'!$G$69:$AF$69</c:f>
              <c:numCache>
                <c:formatCode>0.00%</c:formatCode>
                <c:ptCount val="26"/>
                <c:pt idx="0">
                  <c:v>0.11274262634591825</c:v>
                </c:pt>
                <c:pt idx="1">
                  <c:v>0.11223392031243815</c:v>
                </c:pt>
                <c:pt idx="2">
                  <c:v>0.11224623927822799</c:v>
                </c:pt>
                <c:pt idx="3">
                  <c:v>0.11225441841984973</c:v>
                </c:pt>
                <c:pt idx="4">
                  <c:v>0.11225764459194081</c:v>
                </c:pt>
                <c:pt idx="5">
                  <c:v>0.11225502240321296</c:v>
                </c:pt>
                <c:pt idx="6">
                  <c:v>0.11224556848503171</c:v>
                </c:pt>
                <c:pt idx="7">
                  <c:v>0.11222820532635779</c:v>
                </c:pt>
                <c:pt idx="8">
                  <c:v>0.11220175458222172</c:v>
                </c:pt>
                <c:pt idx="9">
                  <c:v>0.112164929739535</c:v>
                </c:pt>
                <c:pt idx="10">
                  <c:v>0.11211632799617642</c:v>
                </c:pt>
                <c:pt idx="11">
                  <c:v>0.11369849648286612</c:v>
                </c:pt>
                <c:pt idx="12">
                  <c:v>0.1138415003095672</c:v>
                </c:pt>
                <c:pt idx="13">
                  <c:v>0.11398888829957998</c:v>
                </c:pt>
                <c:pt idx="14">
                  <c:v>0.1141405582347756</c:v>
                </c:pt>
                <c:pt idx="15">
                  <c:v>0.11429639777566394</c:v>
                </c:pt>
                <c:pt idx="16">
                  <c:v>0.11445628542821042</c:v>
                </c:pt>
                <c:pt idx="17">
                  <c:v>0.11462009159866365</c:v>
                </c:pt>
                <c:pt idx="18">
                  <c:v>0.11478767971920649</c:v>
                </c:pt>
                <c:pt idx="19">
                  <c:v>0.11495890742605309</c:v>
                </c:pt>
                <c:pt idx="20">
                  <c:v>0.11513362777093392</c:v>
                </c:pt>
                <c:pt idx="21">
                  <c:v>0.11531169044673087</c:v>
                </c:pt>
                <c:pt idx="22">
                  <c:v>0.11549294300837465</c:v>
                </c:pt>
                <c:pt idx="23">
                  <c:v>0.11567723207091624</c:v>
                </c:pt>
                <c:pt idx="24">
                  <c:v>0.11586440446795025</c:v>
                </c:pt>
                <c:pt idx="25">
                  <c:v>0.11605430835515738</c:v>
                </c:pt>
              </c:numCache>
            </c:numRef>
          </c:val>
          <c:smooth val="0"/>
        </c:ser>
        <c:dLbls>
          <c:showLegendKey val="0"/>
          <c:showVal val="0"/>
          <c:showCatName val="0"/>
          <c:showSerName val="0"/>
          <c:showPercent val="0"/>
          <c:showBubbleSize val="0"/>
        </c:dLbls>
        <c:smooth val="0"/>
        <c:axId val="255805712"/>
        <c:axId val="255806272"/>
      </c:lineChart>
      <c:catAx>
        <c:axId val="255805712"/>
        <c:scaling>
          <c:orientation val="minMax"/>
        </c:scaling>
        <c:delete val="0"/>
        <c:axPos val="b"/>
        <c:numFmt formatCode="General" sourceLinked="0"/>
        <c:majorTickMark val="out"/>
        <c:minorTickMark val="none"/>
        <c:tickLblPos val="nextTo"/>
        <c:spPr>
          <a:ln w="3175">
            <a:solidFill>
              <a:srgbClr val="808080"/>
            </a:solidFill>
            <a:prstDash val="solid"/>
          </a:ln>
        </c:spPr>
        <c:crossAx val="255806272"/>
        <c:crosses val="autoZero"/>
        <c:auto val="1"/>
        <c:lblAlgn val="ctr"/>
        <c:lblOffset val="100"/>
        <c:noMultiLvlLbl val="0"/>
      </c:catAx>
      <c:valAx>
        <c:axId val="255806272"/>
        <c:scaling>
          <c:orientation val="minMax"/>
          <c:min val="0"/>
        </c:scaling>
        <c:delete val="0"/>
        <c:axPos val="l"/>
        <c:numFmt formatCode="0.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5805712"/>
        <c:crosses val="autoZero"/>
        <c:crossBetween val="between"/>
      </c:valAx>
      <c:spPr>
        <a:solidFill>
          <a:srgbClr val="FFFFFF"/>
        </a:solidFill>
        <a:ln w="25400">
          <a:noFill/>
        </a:ln>
      </c:spPr>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a:t>Total Costs of Production </a:t>
            </a:r>
          </a:p>
        </c:rich>
      </c:tx>
      <c:overlay val="0"/>
      <c:spPr>
        <a:noFill/>
        <a:ln w="25400">
          <a:noFill/>
        </a:ln>
      </c:spPr>
    </c:title>
    <c:autoTitleDeleted val="0"/>
    <c:plotArea>
      <c:layout>
        <c:manualLayout>
          <c:layoutTarget val="inner"/>
          <c:xMode val="edge"/>
          <c:yMode val="edge"/>
          <c:x val="0.16474226804123701"/>
          <c:y val="0.19393175853018399"/>
          <c:w val="0.51801607273317596"/>
          <c:h val="0.69580885147977201"/>
        </c:manualLayout>
      </c:layout>
      <c:lineChart>
        <c:grouping val="standard"/>
        <c:varyColors val="0"/>
        <c:ser>
          <c:idx val="0"/>
          <c:order val="0"/>
          <c:tx>
            <c:strRef>
              <c:f>'Utility Calc'!$C$53</c:f>
              <c:strCache>
                <c:ptCount val="1"/>
                <c:pt idx="0">
                  <c:v>Fixed Cost RR</c:v>
                </c:pt>
              </c:strCache>
            </c:strRef>
          </c:tx>
          <c:spPr>
            <a:ln w="38100">
              <a:solidFill>
                <a:srgbClr val="666699"/>
              </a:solidFill>
              <a:prstDash val="sysDash"/>
            </a:ln>
          </c:spPr>
          <c:marker>
            <c:symbol val="none"/>
          </c:marker>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Calc'!$G$53:$AF$53</c:f>
              <c:numCache>
                <c:formatCode>_("$"* #,##0_);_("$"* \(#,##0\);_("$"* "-"??_);_(@_)</c:formatCode>
                <c:ptCount val="26"/>
                <c:pt idx="0">
                  <c:v>3353681164.4549761</c:v>
                </c:pt>
                <c:pt idx="1">
                  <c:v>3481083513.7646723</c:v>
                </c:pt>
                <c:pt idx="2">
                  <c:v>3552887131.8057141</c:v>
                </c:pt>
                <c:pt idx="3">
                  <c:v>3628765352.1468873</c:v>
                </c:pt>
                <c:pt idx="4">
                  <c:v>3708980246.4377007</c:v>
                </c:pt>
                <c:pt idx="5">
                  <c:v>3793810893.2098799</c:v>
                </c:pt>
                <c:pt idx="6">
                  <c:v>3883554483.0469646</c:v>
                </c:pt>
                <c:pt idx="7">
                  <c:v>3978527495.5871463</c:v>
                </c:pt>
                <c:pt idx="8">
                  <c:v>4079066953.0284882</c:v>
                </c:pt>
                <c:pt idx="9">
                  <c:v>4185531755.1091514</c:v>
                </c:pt>
                <c:pt idx="10">
                  <c:v>4298304100.8584738</c:v>
                </c:pt>
                <c:pt idx="11">
                  <c:v>4417791002.7589769</c:v>
                </c:pt>
                <c:pt idx="12">
                  <c:v>4544425899.3259907</c:v>
                </c:pt>
                <c:pt idx="13">
                  <c:v>4678670372.5019894</c:v>
                </c:pt>
                <c:pt idx="14">
                  <c:v>4821015976.6786041</c:v>
                </c:pt>
                <c:pt idx="15">
                  <c:v>4971986186.6020432</c:v>
                </c:pt>
                <c:pt idx="16">
                  <c:v>5132138471.8893309</c:v>
                </c:pt>
                <c:pt idx="17">
                  <c:v>5302066506.3850288</c:v>
                </c:pt>
                <c:pt idx="18">
                  <c:v>5482402521.1230555</c:v>
                </c:pt>
                <c:pt idx="19">
                  <c:v>5673819810.22789</c:v>
                </c:pt>
                <c:pt idx="20">
                  <c:v>5877035399.6961899</c:v>
                </c:pt>
                <c:pt idx="21">
                  <c:v>6092812889.646018</c:v>
                </c:pt>
                <c:pt idx="22">
                  <c:v>6321965481.3090706</c:v>
                </c:pt>
                <c:pt idx="23">
                  <c:v>6565359200.7740822</c:v>
                </c:pt>
                <c:pt idx="24">
                  <c:v>6823916332.2703524</c:v>
                </c:pt>
                <c:pt idx="25">
                  <c:v>7098619074.6112995</c:v>
                </c:pt>
              </c:numCache>
            </c:numRef>
          </c:val>
          <c:smooth val="0"/>
        </c:ser>
        <c:ser>
          <c:idx val="1"/>
          <c:order val="1"/>
          <c:tx>
            <c:strRef>
              <c:f>'Utility Calc'!$D$35</c:f>
              <c:strCache>
                <c:ptCount val="1"/>
                <c:pt idx="0">
                  <c:v>Cost of Production - EE</c:v>
                </c:pt>
              </c:strCache>
            </c:strRef>
          </c:tx>
          <c:marker>
            <c:symbol val="none"/>
          </c:marker>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Calc'!$G$35:$AF$35</c:f>
              <c:numCache>
                <c:formatCode>_("$"* #,##0_);_("$"* \(#,##0\);_("$"* "-"??_);_(@_)</c:formatCode>
                <c:ptCount val="26"/>
                <c:pt idx="0">
                  <c:v>3134434200.5479455</c:v>
                </c:pt>
                <c:pt idx="1">
                  <c:v>3366970885.2826471</c:v>
                </c:pt>
                <c:pt idx="2">
                  <c:v>3616140504.0311022</c:v>
                </c:pt>
                <c:pt idx="3">
                  <c:v>3883044431.8260608</c:v>
                </c:pt>
                <c:pt idx="4">
                  <c:v>4168843907.1211543</c:v>
                </c:pt>
                <c:pt idx="5">
                  <c:v>4474761200.1836224</c:v>
                </c:pt>
                <c:pt idx="6">
                  <c:v>4802080398.9508724</c:v>
                </c:pt>
                <c:pt idx="7">
                  <c:v>5152147718.1977634</c:v>
                </c:pt>
                <c:pt idx="8">
                  <c:v>5526371221.7678156</c:v>
                </c:pt>
                <c:pt idx="9">
                  <c:v>5926219829.0809479</c:v>
                </c:pt>
                <c:pt idx="10">
                  <c:v>6353221455.789525</c:v>
                </c:pt>
                <c:pt idx="11">
                  <c:v>6850026224.6248455</c:v>
                </c:pt>
                <c:pt idx="12">
                  <c:v>7385688961.4653187</c:v>
                </c:pt>
                <c:pt idx="13">
                  <c:v>7963249697.5894728</c:v>
                </c:pt>
                <c:pt idx="14">
                  <c:v>8585986356.7379971</c:v>
                </c:pt>
                <c:pt idx="15">
                  <c:v>9257433375.5118046</c:v>
                </c:pt>
                <c:pt idx="16">
                  <c:v>9981401781.5899067</c:v>
                </c:pt>
                <c:pt idx="17">
                  <c:v>10762000843.930244</c:v>
                </c:pt>
                <c:pt idx="18">
                  <c:v>11603661418.059235</c:v>
                </c:pt>
                <c:pt idx="19">
                  <c:v>12511161119.198732</c:v>
                </c:pt>
                <c:pt idx="20">
                  <c:v>13489651466.377907</c:v>
                </c:pt>
                <c:pt idx="21">
                  <c:v>14544687151.890856</c:v>
                </c:pt>
                <c:pt idx="22">
                  <c:v>15682257602.552853</c:v>
                </c:pt>
                <c:pt idx="23">
                  <c:v>16908821012.247669</c:v>
                </c:pt>
                <c:pt idx="24">
                  <c:v>18231341039.319611</c:v>
                </c:pt>
                <c:pt idx="25">
                  <c:v>19657326377.527134</c:v>
                </c:pt>
              </c:numCache>
            </c:numRef>
          </c:val>
          <c:smooth val="0"/>
        </c:ser>
        <c:ser>
          <c:idx val="2"/>
          <c:order val="2"/>
          <c:tx>
            <c:strRef>
              <c:f>'Utility Calc'!$D$32</c:f>
              <c:strCache>
                <c:ptCount val="1"/>
                <c:pt idx="0">
                  <c:v>Cost of Production - Base</c:v>
                </c:pt>
              </c:strCache>
            </c:strRef>
          </c:tx>
          <c:marker>
            <c:symbol val="none"/>
          </c:marker>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Calc'!$G$32:$AF$32</c:f>
              <c:numCache>
                <c:formatCode>_("$"* #,##0_);_("$"* \(#,##0\);_("$"* "-"??_);_(@_)</c:formatCode>
                <c:ptCount val="26"/>
                <c:pt idx="0">
                  <c:v>3134434200.5479455</c:v>
                </c:pt>
                <c:pt idx="1">
                  <c:v>3379434390.2312679</c:v>
                </c:pt>
                <c:pt idx="2">
                  <c:v>3643589229.385097</c:v>
                </c:pt>
                <c:pt idx="3">
                  <c:v>3928396620.8869624</c:v>
                </c:pt>
                <c:pt idx="4">
                  <c:v>4235471632.0641012</c:v>
                </c:pt>
                <c:pt idx="5">
                  <c:v>4566555661.3693333</c:v>
                </c:pt>
                <c:pt idx="6">
                  <c:v>4923526322.4096241</c:v>
                </c:pt>
                <c:pt idx="7">
                  <c:v>5308408101.4785881</c:v>
                </c:pt>
                <c:pt idx="8">
                  <c:v>5723383849.140523</c:v>
                </c:pt>
                <c:pt idx="9">
                  <c:v>6170807171.1542454</c:v>
                </c:pt>
                <c:pt idx="10">
                  <c:v>6653215789.1369066</c:v>
                </c:pt>
                <c:pt idx="11">
                  <c:v>7173345946.8802061</c:v>
                </c:pt>
                <c:pt idx="12">
                  <c:v>7734147944.1754913</c:v>
                </c:pt>
                <c:pt idx="13">
                  <c:v>8338802886.4136381</c:v>
                </c:pt>
                <c:pt idx="14">
                  <c:v>8990740745.1372337</c:v>
                </c:pt>
                <c:pt idx="15">
                  <c:v>9693659832.1753483</c:v>
                </c:pt>
                <c:pt idx="16">
                  <c:v>10451547798.02784</c:v>
                </c:pt>
                <c:pt idx="17">
                  <c:v>11268704273.832146</c:v>
                </c:pt>
                <c:pt idx="18">
                  <c:v>12149765285.590408</c:v>
                </c:pt>
                <c:pt idx="19">
                  <c:v>13099729579.411512</c:v>
                </c:pt>
                <c:pt idx="20">
                  <c:v>14123987007.388926</c:v>
                </c:pt>
                <c:pt idx="21">
                  <c:v>15228349135.452288</c:v>
                </c:pt>
                <c:pt idx="22">
                  <c:v>16419082247.166025</c:v>
                </c:pt>
                <c:pt idx="23">
                  <c:v>17702942931.073124</c:v>
                </c:pt>
                <c:pt idx="24">
                  <c:v>19087216453.87434</c:v>
                </c:pt>
                <c:pt idx="25">
                  <c:v>20579758137.57642</c:v>
                </c:pt>
              </c:numCache>
            </c:numRef>
          </c:val>
          <c:smooth val="0"/>
        </c:ser>
        <c:dLbls>
          <c:showLegendKey val="0"/>
          <c:showVal val="0"/>
          <c:showCatName val="0"/>
          <c:showSerName val="0"/>
          <c:showPercent val="0"/>
          <c:showBubbleSize val="0"/>
        </c:dLbls>
        <c:smooth val="0"/>
        <c:axId val="255810192"/>
        <c:axId val="255810752"/>
      </c:lineChart>
      <c:catAx>
        <c:axId val="255810192"/>
        <c:scaling>
          <c:orientation val="minMax"/>
        </c:scaling>
        <c:delete val="0"/>
        <c:axPos val="b"/>
        <c:numFmt formatCode="General" sourceLinked="0"/>
        <c:majorTickMark val="out"/>
        <c:minorTickMark val="none"/>
        <c:tickLblPos val="nextTo"/>
        <c:spPr>
          <a:ln w="3175">
            <a:solidFill>
              <a:srgbClr val="808080"/>
            </a:solidFill>
            <a:prstDash val="solid"/>
          </a:ln>
        </c:spPr>
        <c:crossAx val="255810752"/>
        <c:crosses val="autoZero"/>
        <c:auto val="1"/>
        <c:lblAlgn val="ctr"/>
        <c:lblOffset val="100"/>
        <c:noMultiLvlLbl val="0"/>
      </c:catAx>
      <c:valAx>
        <c:axId val="255810752"/>
        <c:scaling>
          <c:orientation val="minMax"/>
        </c:scaling>
        <c:delete val="0"/>
        <c:axPos val="l"/>
        <c:numFmt formatCode="_(&quot;$&quot;* #,##0_);_(&quot;$&quot;* \(#,##0\);_(&quot;$&quot;* &quot;-&quot;??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5810192"/>
        <c:crosses val="autoZero"/>
        <c:crossBetween val="between"/>
        <c:dispUnits>
          <c:builtInUnit val="millions"/>
          <c:dispUnitsLbl/>
        </c:dispUnits>
      </c:valAx>
      <c:spPr>
        <a:solidFill>
          <a:srgbClr val="FFFFFF"/>
        </a:solidFill>
        <a:ln w="25400">
          <a:noFill/>
        </a:ln>
      </c:spPr>
    </c:plotArea>
    <c:legend>
      <c:legendPos val="r"/>
      <c:layout>
        <c:manualLayout>
          <c:xMode val="edge"/>
          <c:yMode val="edge"/>
          <c:x val="0.70580636183363699"/>
          <c:y val="0.23775509095845801"/>
          <c:w val="0.27062957336518501"/>
          <c:h val="0.64219096750837201"/>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Capital Investment, no EE</a:t>
            </a:r>
          </a:p>
        </c:rich>
      </c:tx>
      <c:overlay val="0"/>
    </c:title>
    <c:autoTitleDeleted val="0"/>
    <c:plotArea>
      <c:layout>
        <c:manualLayout>
          <c:layoutTarget val="inner"/>
          <c:xMode val="edge"/>
          <c:yMode val="edge"/>
          <c:x val="0.27362285899829503"/>
          <c:y val="0.18515977582010201"/>
          <c:w val="0.68375424721394396"/>
          <c:h val="0.70130319075969205"/>
        </c:manualLayout>
      </c:layout>
      <c:barChart>
        <c:barDir val="col"/>
        <c:grouping val="stacked"/>
        <c:varyColors val="0"/>
        <c:ser>
          <c:idx val="0"/>
          <c:order val="0"/>
          <c:tx>
            <c:strRef>
              <c:f>'Utility Calc'!$F$167</c:f>
              <c:strCache>
                <c:ptCount val="1"/>
                <c:pt idx="0">
                  <c:v>Plant E</c:v>
                </c:pt>
              </c:strCache>
            </c:strRef>
          </c:tx>
          <c:invertIfNegative val="0"/>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Calc'!$G$167:$AF$167</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'Utility Calc'!$F$166</c:f>
              <c:strCache>
                <c:ptCount val="1"/>
                <c:pt idx="0">
                  <c:v>Plant D</c:v>
                </c:pt>
              </c:strCache>
            </c:strRef>
          </c:tx>
          <c:invertIfNegative val="0"/>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Calc'!$G$166:$AF$166</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strRef>
              <c:f>'Utility Calc'!$F$165</c:f>
              <c:strCache>
                <c:ptCount val="1"/>
                <c:pt idx="0">
                  <c:v>Plant C</c:v>
                </c:pt>
              </c:strCache>
            </c:strRef>
          </c:tx>
          <c:invertIfNegative val="0"/>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Calc'!$G$165:$AF$165</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3"/>
          <c:order val="3"/>
          <c:tx>
            <c:strRef>
              <c:f>'Utility Calc'!$F$164</c:f>
              <c:strCache>
                <c:ptCount val="1"/>
                <c:pt idx="0">
                  <c:v>Plant B</c:v>
                </c:pt>
              </c:strCache>
            </c:strRef>
          </c:tx>
          <c:invertIfNegative val="0"/>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Calc'!$G$164:$AF$164</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4"/>
          <c:tx>
            <c:strRef>
              <c:f>'Utility Calc'!$F$163</c:f>
              <c:strCache>
                <c:ptCount val="1"/>
                <c:pt idx="0">
                  <c:v>Plant A</c:v>
                </c:pt>
              </c:strCache>
            </c:strRef>
          </c:tx>
          <c:invertIfNegative val="0"/>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Calc'!$G$163:$AF$163</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150"/>
        <c:overlap val="100"/>
        <c:axId val="257037088"/>
        <c:axId val="257037648"/>
      </c:barChart>
      <c:catAx>
        <c:axId val="257037088"/>
        <c:scaling>
          <c:orientation val="minMax"/>
        </c:scaling>
        <c:delete val="0"/>
        <c:axPos val="b"/>
        <c:numFmt formatCode="General" sourceLinked="1"/>
        <c:majorTickMark val="out"/>
        <c:minorTickMark val="none"/>
        <c:tickLblPos val="nextTo"/>
        <c:txPr>
          <a:bodyPr rot="0" vert="horz"/>
          <a:lstStyle/>
          <a:p>
            <a:pPr>
              <a:defRPr/>
            </a:pPr>
            <a:endParaRPr lang="en-US"/>
          </a:p>
        </c:txPr>
        <c:crossAx val="257037648"/>
        <c:crosses val="autoZero"/>
        <c:auto val="1"/>
        <c:lblAlgn val="ctr"/>
        <c:lblOffset val="100"/>
        <c:noMultiLvlLbl val="0"/>
      </c:catAx>
      <c:valAx>
        <c:axId val="257037648"/>
        <c:scaling>
          <c:orientation val="minMax"/>
        </c:scaling>
        <c:delete val="0"/>
        <c:axPos val="l"/>
        <c:numFmt formatCode="_(&quot;$&quot;* #,##0_);_(&quot;$&quot;* \(#,##0\);_(&quot;$&quot;* &quot;-&quot;??_);_(@_)" sourceLinked="1"/>
        <c:majorTickMark val="out"/>
        <c:minorTickMark val="none"/>
        <c:tickLblPos val="nextTo"/>
        <c:txPr>
          <a:bodyPr rot="0" vert="horz"/>
          <a:lstStyle/>
          <a:p>
            <a:pPr>
              <a:defRPr/>
            </a:pPr>
            <a:endParaRPr lang="en-US"/>
          </a:p>
        </c:txPr>
        <c:crossAx val="257037088"/>
        <c:crosses val="autoZero"/>
        <c:crossBetween val="between"/>
      </c:valAx>
    </c:plotArea>
    <c:legend>
      <c:legendPos val="l"/>
      <c:overlay val="0"/>
    </c:legend>
    <c:plotVisOnly val="1"/>
    <c:dispBlanksAs val="gap"/>
    <c:showDLblsOverMax val="0"/>
  </c:chart>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a:t>Capital Investment, EE</a:t>
            </a:r>
          </a:p>
        </c:rich>
      </c:tx>
      <c:overlay val="0"/>
      <c:spPr>
        <a:noFill/>
        <a:ln w="25400">
          <a:noFill/>
        </a:ln>
      </c:spPr>
    </c:title>
    <c:autoTitleDeleted val="0"/>
    <c:plotArea>
      <c:layout>
        <c:manualLayout>
          <c:layoutTarget val="inner"/>
          <c:xMode val="edge"/>
          <c:yMode val="edge"/>
          <c:x val="0.260660815634636"/>
          <c:y val="0.18515981514580601"/>
          <c:w val="0.70737033330054899"/>
          <c:h val="0.70854835453260601"/>
        </c:manualLayout>
      </c:layout>
      <c:barChart>
        <c:barDir val="col"/>
        <c:grouping val="stacked"/>
        <c:varyColors val="0"/>
        <c:ser>
          <c:idx val="0"/>
          <c:order val="0"/>
          <c:tx>
            <c:strRef>
              <c:f>'Utility Calc'!$F$161</c:f>
              <c:strCache>
                <c:ptCount val="1"/>
                <c:pt idx="0">
                  <c:v>Plant E</c:v>
                </c:pt>
              </c:strCache>
            </c:strRef>
          </c:tx>
          <c:invertIfNegative val="0"/>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Calc'!$G$161:$AF$161</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'Utility Calc'!$F$160</c:f>
              <c:strCache>
                <c:ptCount val="1"/>
                <c:pt idx="0">
                  <c:v>Plant D</c:v>
                </c:pt>
              </c:strCache>
            </c:strRef>
          </c:tx>
          <c:invertIfNegative val="0"/>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Calc'!$G$160:$AF$160</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strRef>
              <c:f>'Utility Calc'!$F$159</c:f>
              <c:strCache>
                <c:ptCount val="1"/>
                <c:pt idx="0">
                  <c:v>Plant C</c:v>
                </c:pt>
              </c:strCache>
            </c:strRef>
          </c:tx>
          <c:invertIfNegative val="0"/>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Calc'!$G$159:$AF$159</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3"/>
          <c:order val="3"/>
          <c:tx>
            <c:strRef>
              <c:f>'Utility Calc'!$F$158</c:f>
              <c:strCache>
                <c:ptCount val="1"/>
                <c:pt idx="0">
                  <c:v>Plant B</c:v>
                </c:pt>
              </c:strCache>
            </c:strRef>
          </c:tx>
          <c:invertIfNegative val="0"/>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Calc'!$G$158:$AF$158</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4"/>
          <c:tx>
            <c:strRef>
              <c:f>'Utility Calc'!$F$157</c:f>
              <c:strCache>
                <c:ptCount val="1"/>
                <c:pt idx="0">
                  <c:v>Plant A</c:v>
                </c:pt>
              </c:strCache>
            </c:strRef>
          </c:tx>
          <c:invertIfNegative val="0"/>
          <c:cat>
            <c:strRef>
              <c:f>'Utility Calc'!$G$3:$AF$3</c:f>
              <c:strCache>
                <c:ptCount val="26"/>
                <c:pt idx="0">
                  <c:v>Y0</c:v>
                </c:pt>
                <c:pt idx="1">
                  <c:v>Y1</c:v>
                </c:pt>
                <c:pt idx="2">
                  <c:v>Y2</c:v>
                </c:pt>
                <c:pt idx="3">
                  <c:v>Y3</c:v>
                </c:pt>
                <c:pt idx="4">
                  <c:v>Y4</c:v>
                </c:pt>
                <c:pt idx="5">
                  <c:v>Y5</c:v>
                </c:pt>
                <c:pt idx="6">
                  <c:v>Y6</c:v>
                </c:pt>
                <c:pt idx="7">
                  <c:v>Y7</c:v>
                </c:pt>
                <c:pt idx="8">
                  <c:v>Y8</c:v>
                </c:pt>
                <c:pt idx="9">
                  <c:v>Y9</c:v>
                </c:pt>
                <c:pt idx="10">
                  <c:v>Y10</c:v>
                </c:pt>
                <c:pt idx="11">
                  <c:v>Y11</c:v>
                </c:pt>
                <c:pt idx="12">
                  <c:v>Y12</c:v>
                </c:pt>
                <c:pt idx="13">
                  <c:v>Y13</c:v>
                </c:pt>
                <c:pt idx="14">
                  <c:v>Y14</c:v>
                </c:pt>
                <c:pt idx="15">
                  <c:v>Y15</c:v>
                </c:pt>
                <c:pt idx="16">
                  <c:v>Y16</c:v>
                </c:pt>
                <c:pt idx="17">
                  <c:v>Y17</c:v>
                </c:pt>
                <c:pt idx="18">
                  <c:v>Y18</c:v>
                </c:pt>
                <c:pt idx="19">
                  <c:v>Y19</c:v>
                </c:pt>
                <c:pt idx="20">
                  <c:v>Y20</c:v>
                </c:pt>
                <c:pt idx="21">
                  <c:v>Y21</c:v>
                </c:pt>
                <c:pt idx="22">
                  <c:v>Y22</c:v>
                </c:pt>
                <c:pt idx="23">
                  <c:v>Y23</c:v>
                </c:pt>
                <c:pt idx="24">
                  <c:v>Y24</c:v>
                </c:pt>
                <c:pt idx="25">
                  <c:v>Y25</c:v>
                </c:pt>
              </c:strCache>
            </c:strRef>
          </c:cat>
          <c:val>
            <c:numRef>
              <c:f>'Utility Calc'!$G$157:$AF$157</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150"/>
        <c:overlap val="100"/>
        <c:axId val="257042688"/>
        <c:axId val="257043248"/>
      </c:barChart>
      <c:catAx>
        <c:axId val="2570426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7043248"/>
        <c:crosses val="autoZero"/>
        <c:auto val="1"/>
        <c:lblAlgn val="ctr"/>
        <c:lblOffset val="100"/>
        <c:noMultiLvlLbl val="0"/>
      </c:catAx>
      <c:valAx>
        <c:axId val="257043248"/>
        <c:scaling>
          <c:orientation val="minMax"/>
        </c:scaling>
        <c:delete val="0"/>
        <c:axPos val="l"/>
        <c:numFmt formatCode="_(&quot;$&quot;* #,##0_);_(&quot;$&quot;* \(#,##0\);_(&quot;$&quot;* &quot;-&quot;??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7042688"/>
        <c:crosses val="autoZero"/>
        <c:crossBetween val="between"/>
      </c:valAx>
      <c:spPr>
        <a:solidFill>
          <a:srgbClr val="FFFFFF"/>
        </a:solidFill>
        <a:ln w="25400">
          <a:noFill/>
        </a:ln>
      </c:spPr>
    </c:plotArea>
    <c:legend>
      <c:legendPos val="l"/>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Rate breakdown</a:t>
            </a:r>
          </a:p>
        </c:rich>
      </c:tx>
      <c:overlay val="0"/>
    </c:title>
    <c:autoTitleDeleted val="0"/>
    <c:plotArea>
      <c:layout>
        <c:manualLayout>
          <c:layoutTarget val="inner"/>
          <c:xMode val="edge"/>
          <c:yMode val="edge"/>
          <c:x val="0.117529643513895"/>
          <c:y val="0.210867052023121"/>
          <c:w val="0.58161551011944701"/>
          <c:h val="0.72901734104046201"/>
        </c:manualLayout>
      </c:layout>
      <c:barChart>
        <c:barDir val="col"/>
        <c:grouping val="stacked"/>
        <c:varyColors val="0"/>
        <c:ser>
          <c:idx val="0"/>
          <c:order val="0"/>
          <c:tx>
            <c:strRef>
              <c:f>'Customer Calc'!$C$166</c:f>
              <c:strCache>
                <c:ptCount val="1"/>
                <c:pt idx="0">
                  <c:v>Variable Cost Rate</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Calc'!$G$166:$AF$166</c:f>
              <c:numCache>
                <c:formatCode>_("$"* #,##0.00_);_("$"* \(#,##0.00\);_("$"* "-"??_);_(@_)</c:formatCode>
                <c:ptCount val="26"/>
                <c:pt idx="0">
                  <c:v>3.9E-2</c:v>
                </c:pt>
                <c:pt idx="1">
                  <c:v>4.1534999999999996E-2</c:v>
                </c:pt>
                <c:pt idx="2">
                  <c:v>4.423477499999999E-2</c:v>
                </c:pt>
                <c:pt idx="3">
                  <c:v>4.7110035374999984E-2</c:v>
                </c:pt>
                <c:pt idx="4">
                  <c:v>5.017218767437498E-2</c:v>
                </c:pt>
                <c:pt idx="5">
                  <c:v>5.3433379873209348E-2</c:v>
                </c:pt>
                <c:pt idx="6">
                  <c:v>5.6906549564967955E-2</c:v>
                </c:pt>
                <c:pt idx="7">
                  <c:v>6.0605475286690871E-2</c:v>
                </c:pt>
                <c:pt idx="8">
                  <c:v>6.4544831180325779E-2</c:v>
                </c:pt>
                <c:pt idx="9">
                  <c:v>6.8740245207046954E-2</c:v>
                </c:pt>
                <c:pt idx="10">
                  <c:v>7.3208361145504997E-2</c:v>
                </c:pt>
                <c:pt idx="11">
                  <c:v>7.7966904619962821E-2</c:v>
                </c:pt>
                <c:pt idx="12">
                  <c:v>8.3034753420260399E-2</c:v>
                </c:pt>
                <c:pt idx="13">
                  <c:v>8.8432012392577322E-2</c:v>
                </c:pt>
                <c:pt idx="14">
                  <c:v>9.4180093198094839E-2</c:v>
                </c:pt>
                <c:pt idx="15">
                  <c:v>0.10030179925597099</c:v>
                </c:pt>
                <c:pt idx="16">
                  <c:v>0.1068214162076091</c:v>
                </c:pt>
                <c:pt idx="17">
                  <c:v>0.11376480826110369</c:v>
                </c:pt>
                <c:pt idx="18">
                  <c:v>0.12115952079807542</c:v>
                </c:pt>
                <c:pt idx="19">
                  <c:v>0.1290348896499503</c:v>
                </c:pt>
                <c:pt idx="20">
                  <c:v>0.13742215747719708</c:v>
                </c:pt>
                <c:pt idx="21">
                  <c:v>0.14635459771321488</c:v>
                </c:pt>
                <c:pt idx="22">
                  <c:v>0.15586764656457383</c:v>
                </c:pt>
                <c:pt idx="23">
                  <c:v>0.16599904359127113</c:v>
                </c:pt>
                <c:pt idx="24">
                  <c:v>0.17678898142470376</c:v>
                </c:pt>
                <c:pt idx="25">
                  <c:v>0.18828026521730948</c:v>
                </c:pt>
              </c:numCache>
            </c:numRef>
          </c:val>
        </c:ser>
        <c:ser>
          <c:idx val="1"/>
          <c:order val="1"/>
          <c:tx>
            <c:strRef>
              <c:f>'Customer Calc'!$C$167</c:f>
              <c:strCache>
                <c:ptCount val="1"/>
                <c:pt idx="0">
                  <c:v>Fixed Cost Rate</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Calc'!$G$167:$AF$167</c:f>
              <c:numCache>
                <c:formatCode>_("$"* #,##0.00_);_("$"* \(#,##0.00\);_("$"* "-"??_);_(@_)</c:formatCode>
                <c:ptCount val="26"/>
                <c:pt idx="0">
                  <c:v>8.0999999999999989E-2</c:v>
                </c:pt>
                <c:pt idx="1">
                  <c:v>8.2943093434957593E-2</c:v>
                </c:pt>
                <c:pt idx="2">
                  <c:v>8.3492740836596024E-2</c:v>
                </c:pt>
                <c:pt idx="3">
                  <c:v>8.4106978362833762E-2</c:v>
                </c:pt>
                <c:pt idx="4">
                  <c:v>8.4788689438926201E-2</c:v>
                </c:pt>
                <c:pt idx="5">
                  <c:v>8.5540908415353681E-2</c:v>
                </c:pt>
                <c:pt idx="6">
                  <c:v>8.6366828279327373E-2</c:v>
                </c:pt>
                <c:pt idx="7">
                  <c:v>8.7269808761879203E-2</c:v>
                </c:pt>
                <c:pt idx="8">
                  <c:v>8.8253384860462553E-2</c:v>
                </c:pt>
                <c:pt idx="9">
                  <c:v>8.9321275797972804E-2</c:v>
                </c:pt>
                <c:pt idx="10">
                  <c:v>9.0477394440131684E-2</c:v>
                </c:pt>
                <c:pt idx="11">
                  <c:v>9.1725857194270288E-2</c:v>
                </c:pt>
                <c:pt idx="12">
                  <c:v>9.307099441369536E-2</c:v>
                </c:pt>
                <c:pt idx="13">
                  <c:v>9.4517361333035607E-2</c:v>
                </c:pt>
                <c:pt idx="14">
                  <c:v>9.6069749561245657E-2</c:v>
                </c:pt>
                <c:pt idx="15">
                  <c:v>9.7733199160293549E-2</c:v>
                </c:pt>
                <c:pt idx="16">
                  <c:v>9.9513011338983992E-2</c:v>
                </c:pt>
                <c:pt idx="17">
                  <c:v>0.10141476179287219</c:v>
                </c:pt>
                <c:pt idx="18">
                  <c:v>0.10344431472281072</c:v>
                </c:pt>
                <c:pt idx="19">
                  <c:v>0.10560783756634455</c:v>
                </c:pt>
                <c:pt idx="20">
                  <c:v>0.10791181647793473</c:v>
                </c:pt>
                <c:pt idx="21">
                  <c:v>0.11036307259585283</c:v>
                </c:pt>
                <c:pt idx="22">
                  <c:v>0.11296877913554904</c:v>
                </c:pt>
                <c:pt idx="23">
                  <c:v>0.11573647935136099</c:v>
                </c:pt>
                <c:pt idx="24">
                  <c:v>0.11867410541060937</c:v>
                </c:pt>
                <c:pt idx="25">
                  <c:v>0.12178999822641011</c:v>
                </c:pt>
              </c:numCache>
            </c:numRef>
          </c:val>
        </c:ser>
        <c:ser>
          <c:idx val="2"/>
          <c:order val="2"/>
          <c:tx>
            <c:strRef>
              <c:f>'Customer Calc'!$C$168</c:f>
              <c:strCache>
                <c:ptCount val="1"/>
                <c:pt idx="0">
                  <c:v>EE Program Cost Recovery Rate</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Calc'!$G$168:$AF$168</c:f>
              <c:numCache>
                <c:formatCode>_("$"* #,##0.0000_);_("$"* \(#,##0.0000\);_("$"* "-"??_);_(@_)</c:formatCode>
                <c:ptCount val="26"/>
                <c:pt idx="0">
                  <c:v>0</c:v>
                </c:pt>
                <c:pt idx="1">
                  <c:v>6.9727328247562871E-4</c:v>
                </c:pt>
                <c:pt idx="2">
                  <c:v>7.100436446132232E-4</c:v>
                </c:pt>
                <c:pt idx="3">
                  <c:v>7.2304774973297784E-4</c:v>
                </c:pt>
                <c:pt idx="4">
                  <c:v>7.3628987759257109E-4</c:v>
                </c:pt>
                <c:pt idx="5">
                  <c:v>7.4977438641383911E-4</c:v>
                </c:pt>
                <c:pt idx="6">
                  <c:v>7.6350571432446496E-4</c:v>
                </c:pt>
                <c:pt idx="7">
                  <c:v>7.7748838082623145E-4</c:v>
                </c:pt>
                <c:pt idx="8">
                  <c:v>7.9172698829032683E-4</c:v>
                </c:pt>
                <c:pt idx="9">
                  <c:v>8.0622622348020597E-4</c:v>
                </c:pt>
                <c:pt idx="10">
                  <c:v>8.2099085910251445E-4</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3"/>
          <c:order val="3"/>
          <c:tx>
            <c:strRef>
              <c:f>'Customer Calc'!$C$169</c:f>
              <c:strCache>
                <c:ptCount val="1"/>
                <c:pt idx="0">
                  <c:v>Fixed Cost Rate Recovery</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Calc'!$G$169:$AF$169</c:f>
              <c:numCache>
                <c:formatCode>_("$"* #,##0.0000_);_("$"* \(#,##0.0000\);_("$"* "-"??_);_(@_)</c:formatCode>
                <c:ptCount val="26"/>
                <c:pt idx="0">
                  <c:v>0</c:v>
                </c:pt>
                <c:pt idx="1">
                  <c:v>1.8450257304749131E-4</c:v>
                </c:pt>
                <c:pt idx="2">
                  <c:v>3.7135665514529179E-4</c:v>
                </c:pt>
                <c:pt idx="3">
                  <c:v>5.6098899654877048E-4</c:v>
                </c:pt>
                <c:pt idx="4">
                  <c:v>7.5385148173124435E-4</c:v>
                </c:pt>
                <c:pt idx="5">
                  <c:v>9.5042275569002599E-4</c:v>
                </c:pt>
                <c:pt idx="6">
                  <c:v>1.1512099488894159E-3</c:v>
                </c:pt>
                <c:pt idx="7">
                  <c:v>1.356750506664176E-3</c:v>
                </c:pt>
                <c:pt idx="8">
                  <c:v>1.5676141292365214E-3</c:v>
                </c:pt>
                <c:pt idx="9">
                  <c:v>1.7844048288480048E-3</c:v>
                </c:pt>
                <c:pt idx="10">
                  <c:v>2.0077631108740123E-3</c:v>
                </c:pt>
                <c:pt idx="11">
                  <c:v>2.0354674615416096E-3</c:v>
                </c:pt>
                <c:pt idx="12">
                  <c:v>2.0653170930980472E-3</c:v>
                </c:pt>
                <c:pt idx="13">
                  <c:v>2.0974130897103453E-3</c:v>
                </c:pt>
                <c:pt idx="14">
                  <c:v>2.1318617808739459E-3</c:v>
                </c:pt>
                <c:pt idx="15">
                  <c:v>2.1687750094481475E-3</c:v>
                </c:pt>
                <c:pt idx="16">
                  <c:v>2.2082704133418009E-3</c:v>
                </c:pt>
                <c:pt idx="17">
                  <c:v>2.2504717215363116E-3</c:v>
                </c:pt>
                <c:pt idx="18">
                  <c:v>2.295509065167962E-3</c:v>
                </c:pt>
                <c:pt idx="19">
                  <c:v>2.3435193044289387E-3</c:v>
                </c:pt>
                <c:pt idx="20">
                  <c:v>2.3946463720854127E-3</c:v>
                </c:pt>
                <c:pt idx="21">
                  <c:v>2.4490416344524844E-3</c:v>
                </c:pt>
                <c:pt idx="22">
                  <c:v>2.5068642707091688E-3</c:v>
                </c:pt>
                <c:pt idx="23">
                  <c:v>2.5682816714825839E-3</c:v>
                </c:pt>
                <c:pt idx="24">
                  <c:v>2.6334698576786909E-3</c:v>
                </c:pt>
                <c:pt idx="25">
                  <c:v>2.7026139205876074E-3</c:v>
                </c:pt>
              </c:numCache>
            </c:numRef>
          </c:val>
        </c:ser>
        <c:ser>
          <c:idx val="4"/>
          <c:order val="4"/>
          <c:tx>
            <c:strRef>
              <c:f>'Customer Calc'!$C$170</c:f>
              <c:strCache>
                <c:ptCount val="1"/>
                <c:pt idx="0">
                  <c:v>Use-Shift Rate Impact</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Calc'!$G$170:$AF$170</c:f>
              <c:numCache>
                <c:formatCode>_("$"* #,##0.0000_);_("$"* \(#,##0.0000\);_("$"* "-"??_);_(@_)</c:formatCode>
                <c:ptCount val="26"/>
                <c:pt idx="0">
                  <c:v>0</c:v>
                </c:pt>
                <c:pt idx="1">
                  <c:v>-2.195559490633589E-4</c:v>
                </c:pt>
                <c:pt idx="2">
                  <c:v>-2.4533681547458247E-4</c:v>
                </c:pt>
                <c:pt idx="3">
                  <c:v>-2.7427986149518302E-4</c:v>
                </c:pt>
                <c:pt idx="4">
                  <c:v>-3.0679390555141822E-4</c:v>
                </c:pt>
                <c:pt idx="5">
                  <c:v>-3.4334400491015798E-4</c:v>
                </c:pt>
                <c:pt idx="6">
                  <c:v>-3.8445979592180435E-4</c:v>
                </c:pt>
                <c:pt idx="7">
                  <c:v>-4.3074518986441906E-4</c:v>
                </c:pt>
                <c:pt idx="8">
                  <c:v>-4.8288966996438976E-4</c:v>
                </c:pt>
                <c:pt idx="9">
                  <c:v>-5.4168148537715732E-4</c:v>
                </c:pt>
                <c:pt idx="10">
                  <c:v>-6.0802309976602797E-4</c:v>
                </c:pt>
                <c:pt idx="11">
                  <c:v>-1.5781729415015322E-4</c:v>
                </c:pt>
                <c:pt idx="12">
                  <c:v>-1.6807541826992234E-4</c:v>
                </c:pt>
                <c:pt idx="13">
                  <c:v>-1.7900032045746472E-4</c:v>
                </c:pt>
                <c:pt idx="14">
                  <c:v>-1.906353412872569E-4</c:v>
                </c:pt>
                <c:pt idx="15">
                  <c:v>-2.0302663847093783E-4</c:v>
                </c:pt>
                <c:pt idx="16">
                  <c:v>-2.1622336997154101E-4</c:v>
                </c:pt>
                <c:pt idx="17">
                  <c:v>-2.3027788901971991E-4</c:v>
                </c:pt>
                <c:pt idx="18">
                  <c:v>-2.4524595180600017E-4</c:v>
                </c:pt>
                <c:pt idx="19">
                  <c:v>-2.6118693867341336E-4</c:v>
                </c:pt>
                <c:pt idx="20">
                  <c:v>-2.7816408968722728E-4</c:v>
                </c:pt>
                <c:pt idx="21">
                  <c:v>-2.9624475551692786E-4</c:v>
                </c:pt>
                <c:pt idx="22">
                  <c:v>-3.1550066462548987E-4</c:v>
                </c:pt>
                <c:pt idx="23">
                  <c:v>-3.3600820782619945E-4</c:v>
                </c:pt>
                <c:pt idx="24">
                  <c:v>-3.5784874133487632E-4</c:v>
                </c:pt>
                <c:pt idx="25">
                  <c:v>-3.8110890952167131E-4</c:v>
                </c:pt>
              </c:numCache>
            </c:numRef>
          </c:val>
        </c:ser>
        <c:ser>
          <c:idx val="5"/>
          <c:order val="5"/>
          <c:tx>
            <c:strRef>
              <c:f>'Customer Calc'!$D$23</c:f>
              <c:strCache>
                <c:ptCount val="1"/>
                <c:pt idx="0">
                  <c:v>Incentive Recovery</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Calc'!$G$23:$AF$23</c:f>
              <c:numCache>
                <c:formatCode>_("$"* #,##0.00000_);_("$"* \(#,##0.00000\);_("$"* "-"??_);_(@_)</c:formatCode>
                <c:ptCount val="26"/>
                <c:pt idx="0">
                  <c:v>0</c:v>
                </c:pt>
                <c:pt idx="1">
                  <c:v>2.8702666162933644E-5</c:v>
                </c:pt>
                <c:pt idx="2">
                  <c:v>2.6568542549377526E-5</c:v>
                </c:pt>
                <c:pt idx="3">
                  <c:v>2.4428520026197814E-5</c:v>
                </c:pt>
                <c:pt idx="4">
                  <c:v>2.2282035334224188E-5</c:v>
                </c:pt>
                <c:pt idx="5">
                  <c:v>2.0128521466581349E-5</c:v>
                </c:pt>
                <c:pt idx="6">
                  <c:v>1.796740750354338E-5</c:v>
                </c:pt>
                <c:pt idx="7">
                  <c:v>1.5798118445739365E-5</c:v>
                </c:pt>
                <c:pt idx="8">
                  <c:v>1.3620075045661029E-5</c:v>
                </c:pt>
                <c:pt idx="9">
                  <c:v>1.1432693637420264E-5</c:v>
                </c:pt>
                <c:pt idx="10">
                  <c:v>9.2353859647058783E-6</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150"/>
        <c:overlap val="100"/>
        <c:axId val="254096592"/>
        <c:axId val="254097152"/>
      </c:barChart>
      <c:catAx>
        <c:axId val="254096592"/>
        <c:scaling>
          <c:orientation val="minMax"/>
        </c:scaling>
        <c:delete val="0"/>
        <c:axPos val="b"/>
        <c:numFmt formatCode="General" sourceLinked="1"/>
        <c:majorTickMark val="out"/>
        <c:minorTickMark val="none"/>
        <c:tickLblPos val="nextTo"/>
        <c:txPr>
          <a:bodyPr rot="-2700000"/>
          <a:lstStyle/>
          <a:p>
            <a:pPr>
              <a:defRPr/>
            </a:pPr>
            <a:endParaRPr lang="en-US"/>
          </a:p>
        </c:txPr>
        <c:crossAx val="254097152"/>
        <c:crosses val="autoZero"/>
        <c:auto val="1"/>
        <c:lblAlgn val="ctr"/>
        <c:lblOffset val="100"/>
        <c:tickLblSkip val="2"/>
        <c:noMultiLvlLbl val="0"/>
      </c:catAx>
      <c:valAx>
        <c:axId val="254097152"/>
        <c:scaling>
          <c:orientation val="minMax"/>
        </c:scaling>
        <c:delete val="0"/>
        <c:axPos val="l"/>
        <c:numFmt formatCode="_(&quot;$&quot;* #,##0.00_);_(&quot;$&quot;* \(#,##0.00\);_(&quot;$&quot;* &quot;-&quot;??_);_(@_)" sourceLinked="1"/>
        <c:majorTickMark val="out"/>
        <c:minorTickMark val="none"/>
        <c:tickLblPos val="nextTo"/>
        <c:txPr>
          <a:bodyPr rot="0" vert="horz"/>
          <a:lstStyle/>
          <a:p>
            <a:pPr>
              <a:defRPr/>
            </a:pPr>
            <a:endParaRPr lang="en-US"/>
          </a:p>
        </c:txPr>
        <c:crossAx val="254096592"/>
        <c:crosses val="autoZero"/>
        <c:crossBetween val="between"/>
        <c:majorUnit val="0.05"/>
      </c:valAx>
    </c:plotArea>
    <c:legend>
      <c:legendPos val="r"/>
      <c:layout>
        <c:manualLayout>
          <c:xMode val="edge"/>
          <c:yMode val="edge"/>
          <c:x val="0.69444191617419904"/>
          <c:y val="0.170252787765691"/>
          <c:w val="0.30006930006929999"/>
          <c:h val="0.68822720859314501"/>
        </c:manualLayout>
      </c:layout>
      <c:overlay val="0"/>
    </c:legend>
    <c:plotVisOnly val="1"/>
    <c:dispBlanksAs val="gap"/>
    <c:showDLblsOverMax val="0"/>
  </c:chart>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ROE Breakdown</a:t>
            </a:r>
          </a:p>
        </c:rich>
      </c:tx>
      <c:overlay val="0"/>
    </c:title>
    <c:autoTitleDeleted val="0"/>
    <c:plotArea>
      <c:layout>
        <c:manualLayout>
          <c:layoutTarget val="inner"/>
          <c:xMode val="edge"/>
          <c:yMode val="edge"/>
          <c:x val="0.16463422450100701"/>
          <c:y val="0.34112459900845699"/>
          <c:w val="0.79757507782457404"/>
          <c:h val="0.55702354913969099"/>
        </c:manualLayout>
      </c:layout>
      <c:barChart>
        <c:barDir val="col"/>
        <c:grouping val="stacked"/>
        <c:varyColors val="0"/>
        <c:ser>
          <c:idx val="0"/>
          <c:order val="0"/>
          <c:tx>
            <c:strRef>
              <c:f>'Utility Calc'!$C$71</c:f>
              <c:strCache>
                <c:ptCount val="1"/>
                <c:pt idx="0">
                  <c:v>Non-DSM-cost-recovery ROE</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'Utility Calc'!$G$71:$AF$71</c:f>
              <c:numCache>
                <c:formatCode>_("$"* #,##0_);_("$"* \(#,##0\);_("$"* "-"??_);_(@_)</c:formatCode>
                <c:ptCount val="26"/>
                <c:pt idx="0">
                  <c:v>1185657829.9668493</c:v>
                </c:pt>
                <c:pt idx="1">
                  <c:v>1176178087.1724005</c:v>
                </c:pt>
                <c:pt idx="2">
                  <c:v>1191457520.6084111</c:v>
                </c:pt>
                <c:pt idx="3">
                  <c:v>1207516478.5210705</c:v>
                </c:pt>
                <c:pt idx="4">
                  <c:v>1224367378.00846</c:v>
                </c:pt>
                <c:pt idx="5">
                  <c:v>1242018465.0157759</c:v>
                </c:pt>
                <c:pt idx="6">
                  <c:v>1260472886.9625092</c:v>
                </c:pt>
                <c:pt idx="7">
                  <c:v>1279727615.2467</c:v>
                </c:pt>
                <c:pt idx="8">
                  <c:v>1299772194.8343475</c:v>
                </c:pt>
                <c:pt idx="9">
                  <c:v>1320587294.5841188</c:v>
                </c:pt>
                <c:pt idx="10">
                  <c:v>1342143027.7870133</c:v>
                </c:pt>
                <c:pt idx="11">
                  <c:v>1465409228.504652</c:v>
                </c:pt>
                <c:pt idx="12">
                  <c:v>1513844943.1964936</c:v>
                </c:pt>
                <c:pt idx="13">
                  <c:v>1565382490.604413</c:v>
                </c:pt>
                <c:pt idx="14">
                  <c:v>1620228106.4503222</c:v>
                </c:pt>
                <c:pt idx="15">
                  <c:v>1678601819.7124462</c:v>
                </c:pt>
                <c:pt idx="16">
                  <c:v>1740738380.1857607</c:v>
                </c:pt>
                <c:pt idx="17">
                  <c:v>1806888248.5516155</c:v>
                </c:pt>
                <c:pt idx="18">
                  <c:v>1877318653.165473</c:v>
                </c:pt>
                <c:pt idx="19">
                  <c:v>1952314718.0560451</c:v>
                </c:pt>
                <c:pt idx="20">
                  <c:v>2032180666.933064</c:v>
                </c:pt>
                <c:pt idx="21">
                  <c:v>2117241108.3254297</c:v>
                </c:pt>
                <c:pt idx="22">
                  <c:v>2207842407.3186841</c:v>
                </c:pt>
                <c:pt idx="23">
                  <c:v>2304354149.7312026</c:v>
                </c:pt>
                <c:pt idx="24">
                  <c:v>2407170704.9651814</c:v>
                </c:pt>
                <c:pt idx="25">
                  <c:v>2516712894.1912708</c:v>
                </c:pt>
              </c:numCache>
            </c:numRef>
          </c:val>
        </c:ser>
        <c:ser>
          <c:idx val="1"/>
          <c:order val="1"/>
          <c:tx>
            <c:strRef>
              <c:f>'Utility Calc'!$C$72</c:f>
              <c:strCache>
                <c:ptCount val="1"/>
                <c:pt idx="0">
                  <c:v>Program Cost Recovery</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'Utility Calc'!$G$72:$AF$72</c:f>
              <c:numCache>
                <c:formatCode>_("$"* #,##0_);_("$"* \(#,##0\);_("$"* "-"??_);_(@_)</c:formatCode>
                <c:ptCount val="26"/>
                <c:pt idx="0">
                  <c:v>0</c:v>
                </c:pt>
                <c:pt idx="1">
                  <c:v>31790441</c:v>
                </c:pt>
                <c:pt idx="2">
                  <c:v>32735671.371999994</c:v>
                </c:pt>
                <c:pt idx="3">
                  <c:v>33709131.789331995</c:v>
                </c:pt>
                <c:pt idx="4">
                  <c:v>34711669.307341114</c:v>
                </c:pt>
                <c:pt idx="5">
                  <c:v>35744156.521234505</c:v>
                </c:pt>
                <c:pt idx="6">
                  <c:v>36807492.340001173</c:v>
                </c:pt>
                <c:pt idx="7">
                  <c:v>37902602.783903465</c:v>
                </c:pt>
                <c:pt idx="8">
                  <c:v>39030441.806261793</c:v>
                </c:pt>
                <c:pt idx="9">
                  <c:v>40191992.140276507</c:v>
                </c:pt>
                <c:pt idx="10">
                  <c:v>41388266.171653673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strRef>
              <c:f>'Utility Calc'!$C$73</c:f>
              <c:strCache>
                <c:ptCount val="1"/>
                <c:pt idx="0">
                  <c:v>Recovery of Lost Revenue</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'Utility Calc'!$G$73:$AF$73</c:f>
              <c:numCache>
                <c:formatCode>_("$"* #,##0_);_("$"* \(#,##0\);_("$"* "-"??_);_(@_)</c:formatCode>
                <c:ptCount val="26"/>
                <c:pt idx="0">
                  <c:v>0</c:v>
                </c:pt>
                <c:pt idx="1">
                  <c:v>10444652.551956225</c:v>
                </c:pt>
                <c:pt idx="2">
                  <c:v>21613791.668223508</c:v>
                </c:pt>
                <c:pt idx="3">
                  <c:v>33581080.460084736</c:v>
                </c:pt>
                <c:pt idx="4">
                  <c:v>46428106.156168208</c:v>
                </c:pt>
                <c:pt idx="5">
                  <c:v>60245271.615400523</c:v>
                </c:pt>
                <c:pt idx="6">
                  <c:v>75132790.68825832</c:v>
                </c:pt>
                <c:pt idx="7">
                  <c:v>91201799.818241954</c:v>
                </c:pt>
                <c:pt idx="8">
                  <c:v>108575599.77723315</c:v>
                </c:pt>
                <c:pt idx="9">
                  <c:v>127391043.11385515</c:v>
                </c:pt>
                <c:pt idx="10">
                  <c:v>147800084.78570524</c:v>
                </c:pt>
                <c:pt idx="11">
                  <c:v>151936800.78664327</c:v>
                </c:pt>
                <c:pt idx="12">
                  <c:v>156322546.63789904</c:v>
                </c:pt>
                <c:pt idx="13">
                  <c:v>160973500.43865621</c:v>
                </c:pt>
                <c:pt idx="14">
                  <c:v>165906900.10719725</c:v>
                </c:pt>
                <c:pt idx="15">
                  <c:v>171141113.03248066</c:v>
                </c:pt>
                <c:pt idx="16">
                  <c:v>176695710.30343348</c:v>
                </c:pt>
                <c:pt idx="17">
                  <c:v>182591545.81597805</c:v>
                </c:pt>
                <c:pt idx="18">
                  <c:v>188850840.57745063</c:v>
                </c:pt>
                <c:pt idx="19">
                  <c:v>195497272.54901975</c:v>
                </c:pt>
                <c:pt idx="20">
                  <c:v>202556072.38903797</c:v>
                </c:pt>
                <c:pt idx="21">
                  <c:v>210054125.48407152</c:v>
                </c:pt>
                <c:pt idx="22">
                  <c:v>218020080.67971879</c:v>
                </c:pt>
                <c:pt idx="23">
                  <c:v>226484466.15039837</c:v>
                </c:pt>
                <c:pt idx="24">
                  <c:v>235479812.87611747</c:v>
                </c:pt>
                <c:pt idx="25">
                  <c:v>245040786.22497821</c:v>
                </c:pt>
              </c:numCache>
            </c:numRef>
          </c:val>
        </c:ser>
        <c:ser>
          <c:idx val="3"/>
          <c:order val="3"/>
          <c:tx>
            <c:strRef>
              <c:f>'Utility Calc'!$C$74</c:f>
              <c:strCache>
                <c:ptCount val="1"/>
                <c:pt idx="0">
                  <c:v>Incentives</c:v>
                </c:pt>
              </c:strCache>
            </c:strRef>
          </c:tx>
          <c:invertIfNegative val="0"/>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'Utility Calc'!$G$74:$AF$74</c:f>
              <c:numCache>
                <c:formatCode>_("$"* #,##0_);_("$"* \(#,##0\);_("$"* "-"??_);_(@_)</c:formatCode>
                <c:ptCount val="26"/>
                <c:pt idx="0">
                  <c:v>0</c:v>
                </c:pt>
                <c:pt idx="1">
                  <c:v>12521547.396697763</c:v>
                </c:pt>
                <c:pt idx="2">
                  <c:v>12875777.009032195</c:v>
                </c:pt>
                <c:pt idx="3">
                  <c:v>13247431.394185206</c:v>
                </c:pt>
                <c:pt idx="4">
                  <c:v>13637438.295916475</c:v>
                </c:pt>
                <c:pt idx="5">
                  <c:v>14046775.26747798</c:v>
                </c:pt>
                <c:pt idx="6">
                  <c:v>14476472.323865503</c:v>
                </c:pt>
                <c:pt idx="7">
                  <c:v>14927614.734264011</c:v>
                </c:pt>
                <c:pt idx="8">
                  <c:v>15401345.9620609</c:v>
                </c:pt>
                <c:pt idx="9">
                  <c:v>15898870.760187846</c:v>
                </c:pt>
                <c:pt idx="10">
                  <c:v>16421458.429958723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150"/>
        <c:overlap val="100"/>
        <c:axId val="257047728"/>
        <c:axId val="257048288"/>
      </c:barChart>
      <c:catAx>
        <c:axId val="257047728"/>
        <c:scaling>
          <c:orientation val="minMax"/>
        </c:scaling>
        <c:delete val="0"/>
        <c:axPos val="b"/>
        <c:numFmt formatCode="General" sourceLinked="1"/>
        <c:majorTickMark val="out"/>
        <c:minorTickMark val="none"/>
        <c:tickLblPos val="nextTo"/>
        <c:crossAx val="257048288"/>
        <c:crosses val="autoZero"/>
        <c:auto val="1"/>
        <c:lblAlgn val="ctr"/>
        <c:lblOffset val="100"/>
        <c:tickLblSkip val="5"/>
        <c:noMultiLvlLbl val="0"/>
      </c:catAx>
      <c:valAx>
        <c:axId val="257048288"/>
        <c:scaling>
          <c:orientation val="minMax"/>
        </c:scaling>
        <c:delete val="0"/>
        <c:axPos val="l"/>
        <c:numFmt formatCode="_(&quot;$&quot;* #,##0_);_(&quot;$&quot;* \(#,##0\);_(&quot;$&quot;* &quot;-&quot;??_);_(@_)" sourceLinked="1"/>
        <c:majorTickMark val="out"/>
        <c:minorTickMark val="none"/>
        <c:tickLblPos val="nextTo"/>
        <c:crossAx val="257047728"/>
        <c:crosses val="autoZero"/>
        <c:crossBetween val="between"/>
        <c:dispUnits>
          <c:builtInUnit val="millions"/>
          <c:dispUnitsLbl/>
        </c:dispUnits>
      </c:valAx>
    </c:plotArea>
    <c:legend>
      <c:legendPos val="t"/>
      <c:overlay val="0"/>
    </c:legend>
    <c:plotVisOnly val="1"/>
    <c:dispBlanksAs val="gap"/>
    <c:showDLblsOverMax val="0"/>
  </c:chart>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CBA Test Result Comparison</a:t>
            </a:r>
          </a:p>
        </c:rich>
      </c:tx>
      <c:overlay val="0"/>
    </c:title>
    <c:autoTitleDeleted val="0"/>
    <c:plotArea>
      <c:layout/>
      <c:barChart>
        <c:barDir val="col"/>
        <c:grouping val="clustered"/>
        <c:varyColors val="0"/>
        <c:ser>
          <c:idx val="0"/>
          <c:order val="0"/>
          <c:tx>
            <c:strRef>
              <c:f>'CBA Calc'!$C$96</c:f>
              <c:strCache>
                <c:ptCount val="1"/>
                <c:pt idx="0">
                  <c:v>10-Year NPV</c:v>
                </c:pt>
              </c:strCache>
            </c:strRef>
          </c:tx>
          <c:spPr>
            <a:solidFill>
              <a:schemeClr val="accent5"/>
            </a:solidFill>
            <a:ln w="25400" cap="flat" cmpd="sng" algn="ctr">
              <a:solidFill>
                <a:schemeClr val="accent5">
                  <a:shade val="50000"/>
                </a:schemeClr>
              </a:solidFill>
              <a:prstDash val="solid"/>
            </a:ln>
            <a:effectLst/>
          </c:spPr>
          <c:invertIfNegative val="0"/>
          <c:cat>
            <c:strRef>
              <c:f>'CBA Calc'!$F$94:$I$94</c:f>
              <c:strCache>
                <c:ptCount val="4"/>
                <c:pt idx="0">
                  <c:v>RIM</c:v>
                </c:pt>
                <c:pt idx="1">
                  <c:v>TRC</c:v>
                </c:pt>
                <c:pt idx="2">
                  <c:v>PAC</c:v>
                </c:pt>
                <c:pt idx="3">
                  <c:v>PCT</c:v>
                </c:pt>
              </c:strCache>
            </c:strRef>
          </c:cat>
          <c:val>
            <c:numRef>
              <c:f>'CBA Calc'!$F$96:$I$96</c:f>
              <c:numCache>
                <c:formatCode>_("$"* #,##0_);_("$"* \(#,##0\);_("$"* "-"??_);_(@_)</c:formatCode>
                <c:ptCount val="4"/>
                <c:pt idx="0">
                  <c:v>-255.89398155257263</c:v>
                </c:pt>
                <c:pt idx="1">
                  <c:v>13.646397762877701</c:v>
                </c:pt>
                <c:pt idx="2">
                  <c:v>28.738710099860867</c:v>
                </c:pt>
                <c:pt idx="3">
                  <c:v>198.85776864246608</c:v>
                </c:pt>
              </c:numCache>
            </c:numRef>
          </c:val>
        </c:ser>
        <c:ser>
          <c:idx val="1"/>
          <c:order val="1"/>
          <c:tx>
            <c:strRef>
              <c:f>'CBA Calc'!$C$97</c:f>
              <c:strCache>
                <c:ptCount val="1"/>
                <c:pt idx="0">
                  <c:v>25-Year NPV</c:v>
                </c:pt>
              </c:strCache>
            </c:strRef>
          </c:tx>
          <c:spPr>
            <a:solidFill>
              <a:schemeClr val="accent1"/>
            </a:solidFill>
            <a:ln w="25400" cap="flat" cmpd="sng" algn="ctr">
              <a:solidFill>
                <a:schemeClr val="accent1">
                  <a:shade val="50000"/>
                </a:schemeClr>
              </a:solidFill>
              <a:prstDash val="solid"/>
            </a:ln>
            <a:effectLst/>
          </c:spPr>
          <c:invertIfNegative val="0"/>
          <c:cat>
            <c:strRef>
              <c:f>'CBA Calc'!$F$94:$I$94</c:f>
              <c:strCache>
                <c:ptCount val="4"/>
                <c:pt idx="0">
                  <c:v>RIM</c:v>
                </c:pt>
                <c:pt idx="1">
                  <c:v>TRC</c:v>
                </c:pt>
                <c:pt idx="2">
                  <c:v>PAC</c:v>
                </c:pt>
                <c:pt idx="3">
                  <c:v>PCT</c:v>
                </c:pt>
              </c:strCache>
            </c:strRef>
          </c:cat>
          <c:val>
            <c:numRef>
              <c:f>'CBA Calc'!$F$97:$I$97</c:f>
              <c:numCache>
                <c:formatCode>_("$"* #,##0_);_("$"* \(#,##0\);_("$"* "-"??_);_(@_)</c:formatCode>
                <c:ptCount val="4"/>
                <c:pt idx="0">
                  <c:v>-323.06422086175985</c:v>
                </c:pt>
                <c:pt idx="1">
                  <c:v>135.39862669907765</c:v>
                </c:pt>
                <c:pt idx="2">
                  <c:v>150.49093903606084</c:v>
                </c:pt>
                <c:pt idx="3">
                  <c:v>306.52424261019428</c:v>
                </c:pt>
              </c:numCache>
            </c:numRef>
          </c:val>
        </c:ser>
        <c:ser>
          <c:idx val="2"/>
          <c:order val="2"/>
          <c:tx>
            <c:strRef>
              <c:f>'CBA Calc'!$C$98</c:f>
              <c:strCache>
                <c:ptCount val="1"/>
                <c:pt idx="0">
                  <c:v>Utility Value</c:v>
                </c:pt>
              </c:strCache>
            </c:strRef>
          </c:tx>
          <c:spPr>
            <a:solidFill>
              <a:schemeClr val="accent3"/>
            </a:solidFill>
            <a:ln w="25400" cap="flat" cmpd="sng" algn="ctr">
              <a:solidFill>
                <a:schemeClr val="accent3">
                  <a:shade val="50000"/>
                </a:schemeClr>
              </a:solidFill>
              <a:prstDash val="solid"/>
            </a:ln>
            <a:effectLst/>
          </c:spPr>
          <c:invertIfNegative val="0"/>
          <c:cat>
            <c:strRef>
              <c:f>'CBA Calc'!$F$94:$I$94</c:f>
              <c:strCache>
                <c:ptCount val="4"/>
                <c:pt idx="0">
                  <c:v>RIM</c:v>
                </c:pt>
                <c:pt idx="1">
                  <c:v>TRC</c:v>
                </c:pt>
                <c:pt idx="2">
                  <c:v>PAC</c:v>
                </c:pt>
                <c:pt idx="3">
                  <c:v>PCT</c:v>
                </c:pt>
              </c:strCache>
            </c:strRef>
          </c:cat>
          <c:val>
            <c:numRef>
              <c:f>'CBA Calc'!$F$98:$I$98</c:f>
              <c:numCache>
                <c:formatCode>_("$"* #,##0_);_("$"* \(#,##0\);_("$"* "-"??_);_(@_)</c:formatCode>
                <c:ptCount val="4"/>
                <c:pt idx="0">
                  <c:v>-343</c:v>
                </c:pt>
                <c:pt idx="1">
                  <c:v>184</c:v>
                </c:pt>
                <c:pt idx="2">
                  <c:v>200</c:v>
                </c:pt>
                <c:pt idx="3">
                  <c:v>528</c:v>
                </c:pt>
              </c:numCache>
            </c:numRef>
          </c:val>
        </c:ser>
        <c:dLbls>
          <c:showLegendKey val="0"/>
          <c:showVal val="0"/>
          <c:showCatName val="0"/>
          <c:showSerName val="0"/>
          <c:showPercent val="0"/>
          <c:showBubbleSize val="0"/>
        </c:dLbls>
        <c:gapWidth val="150"/>
        <c:axId val="256027824"/>
        <c:axId val="256028384"/>
      </c:barChart>
      <c:catAx>
        <c:axId val="256027824"/>
        <c:scaling>
          <c:orientation val="minMax"/>
        </c:scaling>
        <c:delete val="0"/>
        <c:axPos val="b"/>
        <c:numFmt formatCode="General" sourceLinked="1"/>
        <c:majorTickMark val="out"/>
        <c:minorTickMark val="none"/>
        <c:tickLblPos val="nextTo"/>
        <c:crossAx val="256028384"/>
        <c:crosses val="autoZero"/>
        <c:auto val="1"/>
        <c:lblAlgn val="ctr"/>
        <c:lblOffset val="100"/>
        <c:noMultiLvlLbl val="0"/>
      </c:catAx>
      <c:valAx>
        <c:axId val="256028384"/>
        <c:scaling>
          <c:orientation val="minMax"/>
        </c:scaling>
        <c:delete val="0"/>
        <c:axPos val="l"/>
        <c:numFmt formatCode="_(&quot;$&quot;* #,##0_);_(&quot;$&quot;* \(#,##0\);_(&quot;$&quot;* &quot;-&quot;??_);_(@_)" sourceLinked="1"/>
        <c:majorTickMark val="out"/>
        <c:minorTickMark val="none"/>
        <c:tickLblPos val="nextTo"/>
        <c:crossAx val="25602782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CBA Result Breakdown</a:t>
            </a:r>
          </a:p>
        </c:rich>
      </c:tx>
      <c:overlay val="0"/>
    </c:title>
    <c:autoTitleDeleted val="0"/>
    <c:plotArea>
      <c:layout/>
      <c:barChart>
        <c:barDir val="col"/>
        <c:grouping val="stacked"/>
        <c:varyColors val="0"/>
        <c:ser>
          <c:idx val="0"/>
          <c:order val="0"/>
          <c:tx>
            <c:strRef>
              <c:f>'CBA Calc'!$C$100</c:f>
              <c:strCache>
                <c:ptCount val="1"/>
                <c:pt idx="0">
                  <c:v>Costs</c:v>
                </c:pt>
              </c:strCache>
            </c:strRef>
          </c:tx>
          <c:spPr>
            <a:solidFill>
              <a:schemeClr val="accent2"/>
            </a:solidFill>
            <a:ln w="25400" cap="flat" cmpd="sng" algn="ctr">
              <a:solidFill>
                <a:schemeClr val="accent2">
                  <a:shade val="50000"/>
                </a:schemeClr>
              </a:solidFill>
              <a:prstDash val="solid"/>
            </a:ln>
            <a:effectLst/>
          </c:spPr>
          <c:invertIfNegative val="0"/>
          <c:cat>
            <c:strRef>
              <c:f>'CBA Calc'!$F$94:$I$94</c:f>
              <c:strCache>
                <c:ptCount val="4"/>
                <c:pt idx="0">
                  <c:v>RIM</c:v>
                </c:pt>
                <c:pt idx="1">
                  <c:v>TRC</c:v>
                </c:pt>
                <c:pt idx="2">
                  <c:v>PAC</c:v>
                </c:pt>
                <c:pt idx="3">
                  <c:v>PCT</c:v>
                </c:pt>
              </c:strCache>
            </c:strRef>
          </c:cat>
          <c:val>
            <c:numRef>
              <c:f>'CBA Calc'!$F$100:$I$100</c:f>
              <c:numCache>
                <c:formatCode>_("$"* #,##0_);_("$"* \(#,##0\);_("$"* "-"??_);_(@_)</c:formatCode>
                <c:ptCount val="4"/>
                <c:pt idx="0">
                  <c:v>-1086.0216977701443</c:v>
                </c:pt>
                <c:pt idx="1">
                  <c:v>-228.66845980728937</c:v>
                </c:pt>
                <c:pt idx="2">
                  <c:v>-208.13489498303738</c:v>
                </c:pt>
                <c:pt idx="3">
                  <c:v>-116.86489304024857</c:v>
                </c:pt>
              </c:numCache>
            </c:numRef>
          </c:val>
        </c:ser>
        <c:ser>
          <c:idx val="1"/>
          <c:order val="1"/>
          <c:tx>
            <c:strRef>
              <c:f>'CBA Calc'!$C$101</c:f>
              <c:strCache>
                <c:ptCount val="1"/>
                <c:pt idx="0">
                  <c:v>Benefits</c:v>
                </c:pt>
              </c:strCache>
            </c:strRef>
          </c:tx>
          <c:spPr>
            <a:solidFill>
              <a:schemeClr val="accent3"/>
            </a:solidFill>
            <a:ln w="25400" cap="flat" cmpd="sng" algn="ctr">
              <a:solidFill>
                <a:schemeClr val="accent3">
                  <a:shade val="50000"/>
                </a:schemeClr>
              </a:solidFill>
              <a:prstDash val="solid"/>
            </a:ln>
            <a:effectLst/>
          </c:spPr>
          <c:invertIfNegative val="0"/>
          <c:cat>
            <c:strRef>
              <c:f>'CBA Calc'!$F$94:$I$94</c:f>
              <c:strCache>
                <c:ptCount val="4"/>
                <c:pt idx="0">
                  <c:v>RIM</c:v>
                </c:pt>
                <c:pt idx="1">
                  <c:v>TRC</c:v>
                </c:pt>
                <c:pt idx="2">
                  <c:v>PAC</c:v>
                </c:pt>
                <c:pt idx="3">
                  <c:v>PCT</c:v>
                </c:pt>
              </c:strCache>
            </c:strRef>
          </c:cat>
          <c:val>
            <c:numRef>
              <c:f>'CBA Calc'!$F$101:$I$101</c:f>
              <c:numCache>
                <c:formatCode>_("$"* #,##0_);_("$"* \(#,##0\);_("$"* "-"??_);_(@_)</c:formatCode>
                <c:ptCount val="4"/>
                <c:pt idx="0">
                  <c:v>550.75113778984064</c:v>
                </c:pt>
                <c:pt idx="1">
                  <c:v>550.75113778984064</c:v>
                </c:pt>
                <c:pt idx="2">
                  <c:v>550.75113778984064</c:v>
                </c:pt>
                <c:pt idx="3">
                  <c:v>974.21813100310362</c:v>
                </c:pt>
              </c:numCache>
            </c:numRef>
          </c:val>
        </c:ser>
        <c:dLbls>
          <c:showLegendKey val="0"/>
          <c:showVal val="0"/>
          <c:showCatName val="0"/>
          <c:showSerName val="0"/>
          <c:showPercent val="0"/>
          <c:showBubbleSize val="0"/>
        </c:dLbls>
        <c:gapWidth val="150"/>
        <c:overlap val="100"/>
        <c:axId val="256031744"/>
        <c:axId val="256032304"/>
      </c:barChart>
      <c:catAx>
        <c:axId val="256031744"/>
        <c:scaling>
          <c:orientation val="minMax"/>
        </c:scaling>
        <c:delete val="0"/>
        <c:axPos val="b"/>
        <c:numFmt formatCode="General" sourceLinked="1"/>
        <c:majorTickMark val="out"/>
        <c:minorTickMark val="none"/>
        <c:tickLblPos val="nextTo"/>
        <c:crossAx val="256032304"/>
        <c:crosses val="autoZero"/>
        <c:auto val="1"/>
        <c:lblAlgn val="ctr"/>
        <c:lblOffset val="100"/>
        <c:noMultiLvlLbl val="0"/>
      </c:catAx>
      <c:valAx>
        <c:axId val="256032304"/>
        <c:scaling>
          <c:orientation val="minMax"/>
        </c:scaling>
        <c:delete val="0"/>
        <c:axPos val="l"/>
        <c:numFmt formatCode="_(&quot;$&quot;* #,##0_);_(&quot;$&quot;* \(#,##0\);_(&quot;$&quot;* &quot;-&quot;??_);_(@_)" sourceLinked="1"/>
        <c:majorTickMark val="out"/>
        <c:minorTickMark val="none"/>
        <c:tickLblPos val="nextTo"/>
        <c:crossAx val="25603174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CBA Test Result Comparison</a:t>
            </a:r>
          </a:p>
        </c:rich>
      </c:tx>
      <c:overlay val="0"/>
    </c:title>
    <c:autoTitleDeleted val="0"/>
    <c:plotArea>
      <c:layout/>
      <c:barChart>
        <c:barDir val="col"/>
        <c:grouping val="clustered"/>
        <c:varyColors val="0"/>
        <c:ser>
          <c:idx val="0"/>
          <c:order val="0"/>
          <c:tx>
            <c:strRef>
              <c:f>'CBA Calc'!$AH$96</c:f>
              <c:strCache>
                <c:ptCount val="1"/>
                <c:pt idx="0">
                  <c:v>10-Year NPV</c:v>
                </c:pt>
              </c:strCache>
            </c:strRef>
          </c:tx>
          <c:spPr>
            <a:solidFill>
              <a:schemeClr val="accent5"/>
            </a:solidFill>
            <a:ln w="25400" cap="flat" cmpd="sng" algn="ctr">
              <a:solidFill>
                <a:schemeClr val="accent5">
                  <a:shade val="50000"/>
                </a:schemeClr>
              </a:solidFill>
              <a:prstDash val="solid"/>
            </a:ln>
            <a:effectLst/>
          </c:spPr>
          <c:invertIfNegative val="0"/>
          <c:cat>
            <c:strRef>
              <c:f>'CBA Calc'!$AK$94:$AN$94</c:f>
              <c:strCache>
                <c:ptCount val="4"/>
                <c:pt idx="0">
                  <c:v>RIM</c:v>
                </c:pt>
                <c:pt idx="1">
                  <c:v>TRC</c:v>
                </c:pt>
                <c:pt idx="2">
                  <c:v>PAC</c:v>
                </c:pt>
                <c:pt idx="3">
                  <c:v>PCT</c:v>
                </c:pt>
              </c:strCache>
            </c:strRef>
          </c:cat>
          <c:val>
            <c:numRef>
              <c:f>'CBA Calc'!$AK$96:$AN$96</c:f>
              <c:numCache>
                <c:formatCode>_("$"* #,##0_);_("$"* \(#,##0\);_("$"* "-"??_);_(@_)</c:formatCode>
                <c:ptCount val="4"/>
                <c:pt idx="0">
                  <c:v>-71.288925354154756</c:v>
                </c:pt>
                <c:pt idx="1">
                  <c:v>89.218708551208834</c:v>
                </c:pt>
                <c:pt idx="2">
                  <c:v>750.79243048924775</c:v>
                </c:pt>
                <c:pt idx="3">
                  <c:v>88.409036062108484</c:v>
                </c:pt>
              </c:numCache>
            </c:numRef>
          </c:val>
        </c:ser>
        <c:ser>
          <c:idx val="1"/>
          <c:order val="1"/>
          <c:tx>
            <c:strRef>
              <c:f>'CBA Calc'!$AH$97</c:f>
              <c:strCache>
                <c:ptCount val="1"/>
                <c:pt idx="0">
                  <c:v>25-Year NPV</c:v>
                </c:pt>
              </c:strCache>
            </c:strRef>
          </c:tx>
          <c:spPr>
            <a:solidFill>
              <a:schemeClr val="accent1"/>
            </a:solidFill>
            <a:ln w="25400" cap="flat" cmpd="sng" algn="ctr">
              <a:solidFill>
                <a:schemeClr val="accent1">
                  <a:shade val="50000"/>
                </a:schemeClr>
              </a:solidFill>
              <a:prstDash val="solid"/>
            </a:ln>
            <a:effectLst/>
          </c:spPr>
          <c:invertIfNegative val="0"/>
          <c:cat>
            <c:strRef>
              <c:f>'CBA Calc'!$AK$94:$AN$94</c:f>
              <c:strCache>
                <c:ptCount val="4"/>
                <c:pt idx="0">
                  <c:v>RIM</c:v>
                </c:pt>
                <c:pt idx="1">
                  <c:v>TRC</c:v>
                </c:pt>
                <c:pt idx="2">
                  <c:v>PAC</c:v>
                </c:pt>
                <c:pt idx="3">
                  <c:v>PCT</c:v>
                </c:pt>
              </c:strCache>
            </c:strRef>
          </c:cat>
          <c:val>
            <c:numRef>
              <c:f>'CBA Calc'!$AK$97:$AN$97</c:f>
              <c:numCache>
                <c:formatCode>_("$"* #,##0_);_("$"* \(#,##0\);_("$"* "-"??_);_(@_)</c:formatCode>
                <c:ptCount val="4"/>
                <c:pt idx="0">
                  <c:v>-60.924926486388671</c:v>
                </c:pt>
                <c:pt idx="1">
                  <c:v>1424.1577414620078</c:v>
                </c:pt>
                <c:pt idx="2">
                  <c:v>2085.7314634000468</c:v>
                </c:pt>
                <c:pt idx="3">
                  <c:v>787.60599123449367</c:v>
                </c:pt>
              </c:numCache>
            </c:numRef>
          </c:val>
        </c:ser>
        <c:ser>
          <c:idx val="2"/>
          <c:order val="2"/>
          <c:tx>
            <c:strRef>
              <c:f>'CBA Calc'!$AH$98</c:f>
              <c:strCache>
                <c:ptCount val="1"/>
                <c:pt idx="0">
                  <c:v>Utility Value</c:v>
                </c:pt>
              </c:strCache>
            </c:strRef>
          </c:tx>
          <c:spPr>
            <a:solidFill>
              <a:schemeClr val="accent3"/>
            </a:solidFill>
            <a:ln w="25400" cap="flat" cmpd="sng" algn="ctr">
              <a:solidFill>
                <a:schemeClr val="accent3">
                  <a:shade val="50000"/>
                </a:schemeClr>
              </a:solidFill>
              <a:prstDash val="solid"/>
            </a:ln>
            <a:effectLst/>
          </c:spPr>
          <c:invertIfNegative val="0"/>
          <c:cat>
            <c:strRef>
              <c:f>'CBA Calc'!$AK$94:$AN$94</c:f>
              <c:strCache>
                <c:ptCount val="4"/>
                <c:pt idx="0">
                  <c:v>RIM</c:v>
                </c:pt>
                <c:pt idx="1">
                  <c:v>TRC</c:v>
                </c:pt>
                <c:pt idx="2">
                  <c:v>PAC</c:v>
                </c:pt>
                <c:pt idx="3">
                  <c:v>PCT</c:v>
                </c:pt>
              </c:strCache>
            </c:strRef>
          </c:cat>
          <c:val>
            <c:numRef>
              <c:f>'CBA Calc'!$AK$98:$AN$98</c:f>
              <c:numCache>
                <c:formatCode>_("$"* #,##0_);_("$"* \(#,##0\);_("$"* "-"??_);_(@_)</c:formatCode>
                <c:ptCount val="4"/>
                <c:pt idx="0">
                  <c:v>-345</c:v>
                </c:pt>
                <c:pt idx="1">
                  <c:v>1448</c:v>
                </c:pt>
                <c:pt idx="2">
                  <c:v>2203</c:v>
                </c:pt>
                <c:pt idx="3">
                  <c:v>1794</c:v>
                </c:pt>
              </c:numCache>
            </c:numRef>
          </c:val>
        </c:ser>
        <c:dLbls>
          <c:showLegendKey val="0"/>
          <c:showVal val="0"/>
          <c:showCatName val="0"/>
          <c:showSerName val="0"/>
          <c:showPercent val="0"/>
          <c:showBubbleSize val="0"/>
        </c:dLbls>
        <c:gapWidth val="150"/>
        <c:axId val="256036224"/>
        <c:axId val="256036784"/>
      </c:barChart>
      <c:catAx>
        <c:axId val="256036224"/>
        <c:scaling>
          <c:orientation val="minMax"/>
        </c:scaling>
        <c:delete val="0"/>
        <c:axPos val="b"/>
        <c:numFmt formatCode="General" sourceLinked="1"/>
        <c:majorTickMark val="out"/>
        <c:minorTickMark val="none"/>
        <c:tickLblPos val="nextTo"/>
        <c:crossAx val="256036784"/>
        <c:crosses val="autoZero"/>
        <c:auto val="1"/>
        <c:lblAlgn val="ctr"/>
        <c:lblOffset val="100"/>
        <c:noMultiLvlLbl val="0"/>
      </c:catAx>
      <c:valAx>
        <c:axId val="256036784"/>
        <c:scaling>
          <c:orientation val="minMax"/>
        </c:scaling>
        <c:delete val="0"/>
        <c:axPos val="l"/>
        <c:numFmt formatCode="_(&quot;$&quot;* #,##0_);_(&quot;$&quot;* \(#,##0\);_(&quot;$&quot;* &quot;-&quot;??_);_(@_)" sourceLinked="1"/>
        <c:majorTickMark val="out"/>
        <c:minorTickMark val="none"/>
        <c:tickLblPos val="nextTo"/>
        <c:crossAx val="25603622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CBA Result Breakdown</a:t>
            </a:r>
          </a:p>
        </c:rich>
      </c:tx>
      <c:overlay val="0"/>
    </c:title>
    <c:autoTitleDeleted val="0"/>
    <c:plotArea>
      <c:layout/>
      <c:barChart>
        <c:barDir val="col"/>
        <c:grouping val="stacked"/>
        <c:varyColors val="0"/>
        <c:ser>
          <c:idx val="0"/>
          <c:order val="0"/>
          <c:tx>
            <c:strRef>
              <c:f>'CBA Calc'!$AH$100</c:f>
              <c:strCache>
                <c:ptCount val="1"/>
                <c:pt idx="0">
                  <c:v>Costs</c:v>
                </c:pt>
              </c:strCache>
            </c:strRef>
          </c:tx>
          <c:spPr>
            <a:solidFill>
              <a:schemeClr val="accent2"/>
            </a:solidFill>
            <a:ln w="25400" cap="flat" cmpd="sng" algn="ctr">
              <a:solidFill>
                <a:schemeClr val="accent2">
                  <a:shade val="50000"/>
                </a:schemeClr>
              </a:solidFill>
              <a:prstDash val="solid"/>
            </a:ln>
            <a:effectLst/>
          </c:spPr>
          <c:invertIfNegative val="0"/>
          <c:cat>
            <c:strRef>
              <c:f>'CBA Calc'!$AK$94:$AN$94</c:f>
              <c:strCache>
                <c:ptCount val="4"/>
                <c:pt idx="0">
                  <c:v>RIM</c:v>
                </c:pt>
                <c:pt idx="1">
                  <c:v>TRC</c:v>
                </c:pt>
                <c:pt idx="2">
                  <c:v>PAC</c:v>
                </c:pt>
                <c:pt idx="3">
                  <c:v>PCT</c:v>
                </c:pt>
              </c:strCache>
            </c:strRef>
          </c:cat>
          <c:val>
            <c:numRef>
              <c:f>'CBA Calc'!$AK$100:$AN$100</c:f>
              <c:numCache>
                <c:formatCode>_("$"* #,##0_);_("$"* \(#,##0\);_("$"* "-"??_);_(@_)</c:formatCode>
                <c:ptCount val="4"/>
                <c:pt idx="0">
                  <c:v>-4979.0738396773668</c:v>
                </c:pt>
                <c:pt idx="1">
                  <c:v>-1194.5840511925285</c:v>
                </c:pt>
                <c:pt idx="2">
                  <c:v>-221.17662378156336</c:v>
                </c:pt>
                <c:pt idx="3">
                  <c:v>-1129.284397659932</c:v>
                </c:pt>
              </c:numCache>
            </c:numRef>
          </c:val>
        </c:ser>
        <c:ser>
          <c:idx val="1"/>
          <c:order val="1"/>
          <c:tx>
            <c:strRef>
              <c:f>'CBA Calc'!$AH$101</c:f>
              <c:strCache>
                <c:ptCount val="1"/>
                <c:pt idx="0">
                  <c:v>Benefits</c:v>
                </c:pt>
              </c:strCache>
            </c:strRef>
          </c:tx>
          <c:spPr>
            <a:solidFill>
              <a:schemeClr val="accent3"/>
            </a:solidFill>
            <a:ln w="25400" cap="flat" cmpd="sng" algn="ctr">
              <a:solidFill>
                <a:schemeClr val="accent3">
                  <a:shade val="50000"/>
                </a:schemeClr>
              </a:solidFill>
              <a:prstDash val="solid"/>
            </a:ln>
            <a:effectLst/>
          </c:spPr>
          <c:invertIfNegative val="0"/>
          <c:cat>
            <c:strRef>
              <c:f>'CBA Calc'!$AK$94:$AN$94</c:f>
              <c:strCache>
                <c:ptCount val="4"/>
                <c:pt idx="0">
                  <c:v>RIM</c:v>
                </c:pt>
                <c:pt idx="1">
                  <c:v>TRC</c:v>
                </c:pt>
                <c:pt idx="2">
                  <c:v>PAC</c:v>
                </c:pt>
                <c:pt idx="3">
                  <c:v>PCT</c:v>
                </c:pt>
              </c:strCache>
            </c:strRef>
          </c:cat>
          <c:val>
            <c:numRef>
              <c:f>'CBA Calc'!$AK$101:$AN$101</c:f>
              <c:numCache>
                <c:formatCode>_("$"* #,##0_);_("$"* \(#,##0\);_("$"* "-"??_);_(@_)</c:formatCode>
                <c:ptCount val="4"/>
                <c:pt idx="0">
                  <c:v>4889.9798914328412</c:v>
                </c:pt>
                <c:pt idx="1">
                  <c:v>4889.9798914328412</c:v>
                </c:pt>
                <c:pt idx="2">
                  <c:v>4889.9798914328412</c:v>
                </c:pt>
                <c:pt idx="3">
                  <c:v>4913.7741861447703</c:v>
                </c:pt>
              </c:numCache>
            </c:numRef>
          </c:val>
        </c:ser>
        <c:dLbls>
          <c:showLegendKey val="0"/>
          <c:showVal val="0"/>
          <c:showCatName val="0"/>
          <c:showSerName val="0"/>
          <c:showPercent val="0"/>
          <c:showBubbleSize val="0"/>
        </c:dLbls>
        <c:gapWidth val="150"/>
        <c:overlap val="100"/>
        <c:axId val="256040144"/>
        <c:axId val="256040704"/>
      </c:barChart>
      <c:catAx>
        <c:axId val="256040144"/>
        <c:scaling>
          <c:orientation val="minMax"/>
        </c:scaling>
        <c:delete val="0"/>
        <c:axPos val="b"/>
        <c:numFmt formatCode="General" sourceLinked="1"/>
        <c:majorTickMark val="out"/>
        <c:minorTickMark val="none"/>
        <c:tickLblPos val="nextTo"/>
        <c:crossAx val="256040704"/>
        <c:crosses val="autoZero"/>
        <c:auto val="1"/>
        <c:lblAlgn val="ctr"/>
        <c:lblOffset val="100"/>
        <c:noMultiLvlLbl val="0"/>
      </c:catAx>
      <c:valAx>
        <c:axId val="256040704"/>
        <c:scaling>
          <c:orientation val="minMax"/>
        </c:scaling>
        <c:delete val="0"/>
        <c:axPos val="l"/>
        <c:numFmt formatCode="_(&quot;$&quot;* #,##0_);_(&quot;$&quot;* \(#,##0\);_(&quot;$&quot;* &quot;-&quot;??_);_(@_)" sourceLinked="1"/>
        <c:majorTickMark val="out"/>
        <c:minorTickMark val="none"/>
        <c:tickLblPos val="nextTo"/>
        <c:crossAx val="25604014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a:t>CBA % Difference</a:t>
            </a:r>
          </a:p>
        </c:rich>
      </c:tx>
      <c:overlay val="0"/>
    </c:title>
    <c:autoTitleDeleted val="0"/>
    <c:plotArea>
      <c:layout/>
      <c:barChart>
        <c:barDir val="col"/>
        <c:grouping val="stacked"/>
        <c:varyColors val="0"/>
        <c:ser>
          <c:idx val="1"/>
          <c:order val="0"/>
          <c:tx>
            <c:strRef>
              <c:f>'CBA Calc'!$B$102</c:f>
              <c:strCache>
                <c:ptCount val="1"/>
                <c:pt idx="0">
                  <c:v>% Difference</c:v>
                </c:pt>
              </c:strCache>
            </c:strRef>
          </c:tx>
          <c:invertIfNegative val="0"/>
          <c:cat>
            <c:strRef>
              <c:f>'CBA Calc'!$F$94:$I$94</c:f>
              <c:strCache>
                <c:ptCount val="4"/>
                <c:pt idx="0">
                  <c:v>RIM</c:v>
                </c:pt>
                <c:pt idx="1">
                  <c:v>TRC</c:v>
                </c:pt>
                <c:pt idx="2">
                  <c:v>PAC</c:v>
                </c:pt>
                <c:pt idx="3">
                  <c:v>PCT</c:v>
                </c:pt>
              </c:strCache>
            </c:strRef>
          </c:cat>
          <c:val>
            <c:numRef>
              <c:f>'CBA Calc'!$F$102:$I$102</c:f>
              <c:numCache>
                <c:formatCode>0%</c:formatCode>
                <c:ptCount val="4"/>
                <c:pt idx="0">
                  <c:v>-5.8121805067755543E-2</c:v>
                </c:pt>
                <c:pt idx="1">
                  <c:v>-0.26413789837457796</c:v>
                </c:pt>
                <c:pt idx="2">
                  <c:v>-0.24754530481969581</c:v>
                </c:pt>
                <c:pt idx="3">
                  <c:v>-0.41946166172311689</c:v>
                </c:pt>
              </c:numCache>
            </c:numRef>
          </c:val>
        </c:ser>
        <c:dLbls>
          <c:showLegendKey val="0"/>
          <c:showVal val="0"/>
          <c:showCatName val="0"/>
          <c:showSerName val="0"/>
          <c:showPercent val="0"/>
          <c:showBubbleSize val="0"/>
        </c:dLbls>
        <c:gapWidth val="150"/>
        <c:overlap val="100"/>
        <c:axId val="257994464"/>
        <c:axId val="257995024"/>
      </c:barChart>
      <c:catAx>
        <c:axId val="257994464"/>
        <c:scaling>
          <c:orientation val="minMax"/>
        </c:scaling>
        <c:delete val="0"/>
        <c:axPos val="b"/>
        <c:numFmt formatCode="General" sourceLinked="1"/>
        <c:majorTickMark val="out"/>
        <c:minorTickMark val="none"/>
        <c:tickLblPos val="nextTo"/>
        <c:crossAx val="257995024"/>
        <c:crosses val="autoZero"/>
        <c:auto val="1"/>
        <c:lblAlgn val="ctr"/>
        <c:lblOffset val="100"/>
        <c:noMultiLvlLbl val="0"/>
      </c:catAx>
      <c:valAx>
        <c:axId val="257995024"/>
        <c:scaling>
          <c:orientation val="minMax"/>
        </c:scaling>
        <c:delete val="0"/>
        <c:axPos val="l"/>
        <c:numFmt formatCode="0%" sourceLinked="1"/>
        <c:majorTickMark val="out"/>
        <c:minorTickMark val="none"/>
        <c:tickLblPos val="nextTo"/>
        <c:crossAx val="257994464"/>
        <c:crosses val="autoZero"/>
        <c:crossBetween val="between"/>
      </c:valAx>
    </c:plotArea>
    <c:plotVisOnly val="1"/>
    <c:dispBlanksAs val="gap"/>
    <c:showDLblsOverMax val="0"/>
  </c:chart>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a:t>CBA % Difference</a:t>
            </a:r>
          </a:p>
        </c:rich>
      </c:tx>
      <c:overlay val="0"/>
    </c:title>
    <c:autoTitleDeleted val="0"/>
    <c:plotArea>
      <c:layout/>
      <c:barChart>
        <c:barDir val="col"/>
        <c:grouping val="stacked"/>
        <c:varyColors val="0"/>
        <c:ser>
          <c:idx val="1"/>
          <c:order val="0"/>
          <c:tx>
            <c:strRef>
              <c:f>'CBA Calc'!$AG$102</c:f>
              <c:strCache>
                <c:ptCount val="1"/>
                <c:pt idx="0">
                  <c:v>% Difference</c:v>
                </c:pt>
              </c:strCache>
            </c:strRef>
          </c:tx>
          <c:invertIfNegative val="0"/>
          <c:cat>
            <c:strRef>
              <c:f>'CBA Calc'!$AK$94:$AN$94</c:f>
              <c:strCache>
                <c:ptCount val="4"/>
                <c:pt idx="0">
                  <c:v>RIM</c:v>
                </c:pt>
                <c:pt idx="1">
                  <c:v>TRC</c:v>
                </c:pt>
                <c:pt idx="2">
                  <c:v>PAC</c:v>
                </c:pt>
                <c:pt idx="3">
                  <c:v>PCT</c:v>
                </c:pt>
              </c:strCache>
            </c:strRef>
          </c:cat>
          <c:val>
            <c:numRef>
              <c:f>'CBA Calc'!$AK$102:$AN$102</c:f>
              <c:numCache>
                <c:formatCode>0%</c:formatCode>
                <c:ptCount val="4"/>
                <c:pt idx="0">
                  <c:v>-0.82340601018438053</c:v>
                </c:pt>
                <c:pt idx="1">
                  <c:v>-1.6465648161596798E-2</c:v>
                </c:pt>
                <c:pt idx="2">
                  <c:v>-5.323129214705094E-2</c:v>
                </c:pt>
                <c:pt idx="3">
                  <c:v>-0.5609777083419768</c:v>
                </c:pt>
              </c:numCache>
            </c:numRef>
          </c:val>
        </c:ser>
        <c:dLbls>
          <c:showLegendKey val="0"/>
          <c:showVal val="0"/>
          <c:showCatName val="0"/>
          <c:showSerName val="0"/>
          <c:showPercent val="0"/>
          <c:showBubbleSize val="0"/>
        </c:dLbls>
        <c:gapWidth val="150"/>
        <c:overlap val="100"/>
        <c:axId val="257997264"/>
        <c:axId val="257997824"/>
      </c:barChart>
      <c:catAx>
        <c:axId val="257997264"/>
        <c:scaling>
          <c:orientation val="minMax"/>
        </c:scaling>
        <c:delete val="0"/>
        <c:axPos val="b"/>
        <c:numFmt formatCode="General" sourceLinked="1"/>
        <c:majorTickMark val="out"/>
        <c:minorTickMark val="none"/>
        <c:tickLblPos val="nextTo"/>
        <c:crossAx val="257997824"/>
        <c:crosses val="autoZero"/>
        <c:auto val="1"/>
        <c:lblAlgn val="ctr"/>
        <c:lblOffset val="100"/>
        <c:noMultiLvlLbl val="0"/>
      </c:catAx>
      <c:valAx>
        <c:axId val="257997824"/>
        <c:scaling>
          <c:orientation val="minMax"/>
        </c:scaling>
        <c:delete val="0"/>
        <c:axPos val="l"/>
        <c:numFmt formatCode="0%" sourceLinked="1"/>
        <c:majorTickMark val="out"/>
        <c:minorTickMark val="none"/>
        <c:tickLblPos val="nextTo"/>
        <c:crossAx val="257997264"/>
        <c:crosses val="autoZero"/>
        <c:crossBetween val="between"/>
      </c:valAx>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lgn="ctr" rtl="0">
              <a:defRPr sz="1800" b="1" i="0" u="none" strike="noStrike" baseline="0">
                <a:solidFill>
                  <a:srgbClr val="000000"/>
                </a:solidFill>
                <a:latin typeface="Calibri"/>
                <a:ea typeface="Calibri"/>
                <a:cs typeface="Calibri"/>
              </a:defRPr>
            </a:pPr>
            <a:r>
              <a:rPr lang="en-US"/>
              <a:t>% Avg Bill Difference Between Base and EE Case</a:t>
            </a:r>
          </a:p>
        </c:rich>
      </c:tx>
      <c:overlay val="0"/>
      <c:spPr>
        <a:noFill/>
        <a:ln w="25400">
          <a:noFill/>
        </a:ln>
      </c:spPr>
    </c:title>
    <c:autoTitleDeleted val="0"/>
    <c:plotArea>
      <c:layout/>
      <c:lineChart>
        <c:grouping val="standard"/>
        <c:varyColors val="0"/>
        <c:ser>
          <c:idx val="0"/>
          <c:order val="0"/>
          <c:tx>
            <c:v>Bill Change</c:v>
          </c:tx>
          <c:marker>
            <c:symbol val="none"/>
          </c:marker>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Calc'!$G$194:$AF$194</c:f>
              <c:numCache>
                <c:formatCode>0.00%</c:formatCode>
                <c:ptCount val="26"/>
                <c:pt idx="0">
                  <c:v>0</c:v>
                </c:pt>
                <c:pt idx="1">
                  <c:v>3.3187255252113642E-3</c:v>
                </c:pt>
                <c:pt idx="2">
                  <c:v>2.2957073010191325E-3</c:v>
                </c:pt>
                <c:pt idx="3">
                  <c:v>1.2035153577769292E-3</c:v>
                </c:pt>
                <c:pt idx="4">
                  <c:v>4.1861540188949783E-5</c:v>
                </c:pt>
                <c:pt idx="5">
                  <c:v>-1.1893493693257249E-3</c:v>
                </c:pt>
                <c:pt idx="6">
                  <c:v>-2.4900384340266844E-3</c:v>
                </c:pt>
                <c:pt idx="7">
                  <c:v>-3.8599758062784657E-3</c:v>
                </c:pt>
                <c:pt idx="8">
                  <c:v>-5.2988082851545097E-3</c:v>
                </c:pt>
                <c:pt idx="9">
                  <c:v>-6.8060910189451703E-3</c:v>
                </c:pt>
                <c:pt idx="10">
                  <c:v>-8.3813231849306728E-3</c:v>
                </c:pt>
                <c:pt idx="11">
                  <c:v>-1.088424237060461E-2</c:v>
                </c:pt>
                <c:pt idx="12">
                  <c:v>-1.1169599442069307E-2</c:v>
                </c:pt>
                <c:pt idx="13">
                  <c:v>-1.1450641306770089E-2</c:v>
                </c:pt>
                <c:pt idx="14">
                  <c:v>-1.1726976070521278E-2</c:v>
                </c:pt>
                <c:pt idx="15">
                  <c:v>-1.1998252684809136E-2</c:v>
                </c:pt>
                <c:pt idx="16">
                  <c:v>-1.2264161576748188E-2</c:v>
                </c:pt>
                <c:pt idx="17">
                  <c:v>-1.2524434716963398E-2</c:v>
                </c:pt>
                <c:pt idx="18">
                  <c:v>-1.277884516954382E-2</c:v>
                </c:pt>
                <c:pt idx="19">
                  <c:v>-1.3027206175876443E-2</c:v>
                </c:pt>
                <c:pt idx="20">
                  <c:v>-1.3269369829490292E-2</c:v>
                </c:pt>
                <c:pt idx="21">
                  <c:v>-1.3505225402150546E-2</c:v>
                </c:pt>
                <c:pt idx="22">
                  <c:v>-1.3734697382500912E-2</c:v>
                </c:pt>
                <c:pt idx="23">
                  <c:v>-1.3957743287807006E-2</c:v>
                </c:pt>
                <c:pt idx="24">
                  <c:v>-1.4174351307046541E-2</c:v>
                </c:pt>
                <c:pt idx="25">
                  <c:v>-1.4384537830075372E-2</c:v>
                </c:pt>
              </c:numCache>
            </c:numRef>
          </c:val>
          <c:smooth val="0"/>
        </c:ser>
        <c:dLbls>
          <c:showLegendKey val="0"/>
          <c:showVal val="0"/>
          <c:showCatName val="0"/>
          <c:showSerName val="0"/>
          <c:showPercent val="0"/>
          <c:showBubbleSize val="0"/>
        </c:dLbls>
        <c:smooth val="0"/>
        <c:axId val="254099952"/>
        <c:axId val="254100512"/>
      </c:lineChart>
      <c:catAx>
        <c:axId val="25409995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a:lstStyle/>
          <a:p>
            <a:pPr>
              <a:defRPr/>
            </a:pPr>
            <a:endParaRPr lang="en-US"/>
          </a:p>
        </c:txPr>
        <c:crossAx val="254100512"/>
        <c:crosses val="autoZero"/>
        <c:auto val="1"/>
        <c:lblAlgn val="ctr"/>
        <c:lblOffset val="100"/>
        <c:tickLblSkip val="2"/>
        <c:noMultiLvlLbl val="0"/>
      </c:catAx>
      <c:valAx>
        <c:axId val="254100512"/>
        <c:scaling>
          <c:orientation val="minMax"/>
        </c:scaling>
        <c:delete val="0"/>
        <c:axPos val="l"/>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409995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Bill Difference Breakdown</a:t>
            </a:r>
          </a:p>
        </c:rich>
      </c:tx>
      <c:overlay val="0"/>
    </c:title>
    <c:autoTitleDeleted val="0"/>
    <c:plotArea>
      <c:layout>
        <c:manualLayout>
          <c:layoutTarget val="inner"/>
          <c:xMode val="edge"/>
          <c:yMode val="edge"/>
          <c:x val="8.7894413616125294E-2"/>
          <c:y val="0.28556904345290202"/>
          <c:w val="0.87589388721952899"/>
          <c:h val="0.65424577136191298"/>
        </c:manualLayout>
      </c:layout>
      <c:lineChart>
        <c:grouping val="standard"/>
        <c:varyColors val="0"/>
        <c:ser>
          <c:idx val="0"/>
          <c:order val="0"/>
          <c:tx>
            <c:v>Participants</c:v>
          </c:tx>
          <c:spPr>
            <a:ln w="28575" cmpd="sng"/>
          </c:spPr>
          <c:marker>
            <c:symbol val="none"/>
          </c:marker>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Calc'!$G$214:$AF$214</c:f>
              <c:numCache>
                <c:formatCode>0.00%</c:formatCode>
                <c:ptCount val="26"/>
                <c:pt idx="0">
                  <c:v>0</c:v>
                </c:pt>
                <c:pt idx="1">
                  <c:v>-6.5325213576347838E-2</c:v>
                </c:pt>
                <c:pt idx="2">
                  <c:v>-6.4359802765877078E-2</c:v>
                </c:pt>
                <c:pt idx="3">
                  <c:v>-6.3464831093538426E-2</c:v>
                </c:pt>
                <c:pt idx="4">
                  <c:v>-6.2640981676353569E-2</c:v>
                </c:pt>
                <c:pt idx="5">
                  <c:v>-6.1888757666820504E-2</c:v>
                </c:pt>
                <c:pt idx="6">
                  <c:v>-6.1208498070164111E-2</c:v>
                </c:pt>
                <c:pt idx="7">
                  <c:v>-6.0600397987734242E-2</c:v>
                </c:pt>
                <c:pt idx="8">
                  <c:v>-6.0064533207516882E-2</c:v>
                </c:pt>
                <c:pt idx="9">
                  <c:v>-5.9600889038080127E-2</c:v>
                </c:pt>
                <c:pt idx="10">
                  <c:v>-5.9209393280972848E-2</c:v>
                </c:pt>
                <c:pt idx="11">
                  <c:v>-6.2290318787597374E-2</c:v>
                </c:pt>
                <c:pt idx="12">
                  <c:v>-6.327453668223014E-2</c:v>
                </c:pt>
                <c:pt idx="13">
                  <c:v>-6.426192820641248E-2</c:v>
                </c:pt>
                <c:pt idx="14">
                  <c:v>-6.5252203822868698E-2</c:v>
                </c:pt>
                <c:pt idx="15">
                  <c:v>-6.6245114677964442E-2</c:v>
                </c:pt>
                <c:pt idx="16">
                  <c:v>-6.7240453084579058E-2</c:v>
                </c:pt>
                <c:pt idx="17">
                  <c:v>-6.8238052467546412E-2</c:v>
                </c:pt>
                <c:pt idx="18">
                  <c:v>-6.9237786816105124E-2</c:v>
                </c:pt>
                <c:pt idx="19">
                  <c:v>-7.0239569694858603E-2</c:v>
                </c:pt>
                <c:pt idx="20">
                  <c:v>-7.1243352869553925E-2</c:v>
                </c:pt>
                <c:pt idx="21">
                  <c:v>-7.2249124606651421E-2</c:v>
                </c:pt>
                <c:pt idx="22">
                  <c:v>-7.3256907706375829E-2</c:v>
                </c:pt>
                <c:pt idx="23">
                  <c:v>-7.4266757327914407E-2</c:v>
                </c:pt>
                <c:pt idx="24">
                  <c:v>-7.5278758662959203E-2</c:v>
                </c:pt>
                <c:pt idx="25">
                  <c:v>-7.629302451014941E-2</c:v>
                </c:pt>
              </c:numCache>
            </c:numRef>
          </c:val>
          <c:smooth val="0"/>
        </c:ser>
        <c:ser>
          <c:idx val="1"/>
          <c:order val="1"/>
          <c:tx>
            <c:v>Non-Partic</c:v>
          </c:tx>
          <c:spPr>
            <a:ln w="28575" cmpd="sng"/>
          </c:spPr>
          <c:marker>
            <c:symbol val="none"/>
          </c:marker>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Calc'!$G$215:$AF$215</c:f>
              <c:numCache>
                <c:formatCode>0.00%</c:formatCode>
                <c:ptCount val="26"/>
                <c:pt idx="0">
                  <c:v>0</c:v>
                </c:pt>
                <c:pt idx="1">
                  <c:v>5.5889925732751549E-3</c:v>
                </c:pt>
                <c:pt idx="2">
                  <c:v>6.8306573393103068E-3</c:v>
                </c:pt>
                <c:pt idx="3">
                  <c:v>7.997071433124732E-3</c:v>
                </c:pt>
                <c:pt idx="4">
                  <c:v>9.0874517668145371E-3</c:v>
                </c:pt>
                <c:pt idx="5">
                  <c:v>1.010120835596515E-2</c:v>
                </c:pt>
                <c:pt idx="6">
                  <c:v>1.1037927481690567E-2</c:v>
                </c:pt>
                <c:pt idx="7">
                  <c:v>1.1897350064710537E-2</c:v>
                </c:pt>
                <c:pt idx="8">
                  <c:v>1.2679345329794386E-2</c:v>
                </c:pt>
                <c:pt idx="9">
                  <c:v>1.3383879865600606E-2</c:v>
                </c:pt>
                <c:pt idx="10">
                  <c:v>1.4010982186493198E-2</c:v>
                </c:pt>
                <c:pt idx="11">
                  <c:v>1.1490205744647781E-2</c:v>
                </c:pt>
                <c:pt idx="12">
                  <c:v>1.123704661781013E-2</c:v>
                </c:pt>
                <c:pt idx="13">
                  <c:v>1.0988279816044775E-2</c:v>
                </c:pt>
                <c:pt idx="14">
                  <c:v>1.0744306649253514E-2</c:v>
                </c:pt>
                <c:pt idx="15">
                  <c:v>1.0505486712645814E-2</c:v>
                </c:pt>
                <c:pt idx="16">
                  <c:v>1.0272137234428722E-2</c:v>
                </c:pt>
                <c:pt idx="17">
                  <c:v>1.0044532998272975E-2</c:v>
                </c:pt>
                <c:pt idx="18">
                  <c:v>9.8229067955440796E-3</c:v>
                </c:pt>
                <c:pt idx="19">
                  <c:v>9.6074503544502053E-3</c:v>
                </c:pt>
                <c:pt idx="20">
                  <c:v>9.3983156877878397E-3</c:v>
                </c:pt>
                <c:pt idx="21">
                  <c:v>9.195616797776562E-3</c:v>
                </c:pt>
                <c:pt idx="22">
                  <c:v>8.9994316753560667E-3</c:v>
                </c:pt>
                <c:pt idx="23">
                  <c:v>8.809804532088801E-3</c:v>
                </c:pt>
                <c:pt idx="24">
                  <c:v>8.6267482051226793E-3</c:v>
                </c:pt>
                <c:pt idx="25">
                  <c:v>8.4502466792743293E-3</c:v>
                </c:pt>
              </c:numCache>
            </c:numRef>
          </c:val>
          <c:smooth val="0"/>
        </c:ser>
        <c:ser>
          <c:idx val="2"/>
          <c:order val="2"/>
          <c:tx>
            <c:v>Total</c:v>
          </c:tx>
          <c:spPr>
            <a:ln w="28575" cmpd="sng"/>
          </c:spPr>
          <c:marker>
            <c:symbol val="none"/>
          </c:marker>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Calc'!$G$194:$AF$194</c:f>
              <c:numCache>
                <c:formatCode>0.00%</c:formatCode>
                <c:ptCount val="26"/>
                <c:pt idx="0">
                  <c:v>0</c:v>
                </c:pt>
                <c:pt idx="1">
                  <c:v>3.3187255252113642E-3</c:v>
                </c:pt>
                <c:pt idx="2">
                  <c:v>2.2957073010191325E-3</c:v>
                </c:pt>
                <c:pt idx="3">
                  <c:v>1.2035153577769292E-3</c:v>
                </c:pt>
                <c:pt idx="4">
                  <c:v>4.1861540188949783E-5</c:v>
                </c:pt>
                <c:pt idx="5">
                  <c:v>-1.1893493693257249E-3</c:v>
                </c:pt>
                <c:pt idx="6">
                  <c:v>-2.4900384340266844E-3</c:v>
                </c:pt>
                <c:pt idx="7">
                  <c:v>-3.8599758062784657E-3</c:v>
                </c:pt>
                <c:pt idx="8">
                  <c:v>-5.2988082851545097E-3</c:v>
                </c:pt>
                <c:pt idx="9">
                  <c:v>-6.8060910189451703E-3</c:v>
                </c:pt>
                <c:pt idx="10">
                  <c:v>-8.3813231849306728E-3</c:v>
                </c:pt>
                <c:pt idx="11">
                  <c:v>-1.088424237060461E-2</c:v>
                </c:pt>
                <c:pt idx="12">
                  <c:v>-1.1169599442069307E-2</c:v>
                </c:pt>
                <c:pt idx="13">
                  <c:v>-1.1450641306770089E-2</c:v>
                </c:pt>
                <c:pt idx="14">
                  <c:v>-1.1726976070521278E-2</c:v>
                </c:pt>
                <c:pt idx="15">
                  <c:v>-1.1998252684809136E-2</c:v>
                </c:pt>
                <c:pt idx="16">
                  <c:v>-1.2264161576748188E-2</c:v>
                </c:pt>
                <c:pt idx="17">
                  <c:v>-1.2524434716963398E-2</c:v>
                </c:pt>
                <c:pt idx="18">
                  <c:v>-1.277884516954382E-2</c:v>
                </c:pt>
                <c:pt idx="19">
                  <c:v>-1.3027206175876443E-2</c:v>
                </c:pt>
                <c:pt idx="20">
                  <c:v>-1.3269369829490292E-2</c:v>
                </c:pt>
                <c:pt idx="21">
                  <c:v>-1.3505225402150546E-2</c:v>
                </c:pt>
                <c:pt idx="22">
                  <c:v>-1.3734697382500912E-2</c:v>
                </c:pt>
                <c:pt idx="23">
                  <c:v>-1.3957743287807006E-2</c:v>
                </c:pt>
                <c:pt idx="24">
                  <c:v>-1.4174351307046541E-2</c:v>
                </c:pt>
                <c:pt idx="25">
                  <c:v>-1.4384537830075372E-2</c:v>
                </c:pt>
              </c:numCache>
            </c:numRef>
          </c:val>
          <c:smooth val="0"/>
        </c:ser>
        <c:dLbls>
          <c:showLegendKey val="0"/>
          <c:showVal val="0"/>
          <c:showCatName val="0"/>
          <c:showSerName val="0"/>
          <c:showPercent val="0"/>
          <c:showBubbleSize val="0"/>
        </c:dLbls>
        <c:smooth val="0"/>
        <c:axId val="254026288"/>
        <c:axId val="254026848"/>
      </c:lineChart>
      <c:catAx>
        <c:axId val="254026288"/>
        <c:scaling>
          <c:orientation val="minMax"/>
        </c:scaling>
        <c:delete val="0"/>
        <c:axPos val="b"/>
        <c:numFmt formatCode="General" sourceLinked="1"/>
        <c:majorTickMark val="out"/>
        <c:minorTickMark val="none"/>
        <c:tickLblPos val="nextTo"/>
        <c:txPr>
          <a:bodyPr rot="-2700000"/>
          <a:lstStyle/>
          <a:p>
            <a:pPr>
              <a:defRPr/>
            </a:pPr>
            <a:endParaRPr lang="en-US"/>
          </a:p>
        </c:txPr>
        <c:crossAx val="254026848"/>
        <c:crosses val="autoZero"/>
        <c:auto val="1"/>
        <c:lblAlgn val="ctr"/>
        <c:lblOffset val="100"/>
        <c:tickLblSkip val="2"/>
        <c:noMultiLvlLbl val="0"/>
      </c:catAx>
      <c:valAx>
        <c:axId val="254026848"/>
        <c:scaling>
          <c:orientation val="minMax"/>
        </c:scaling>
        <c:delete val="0"/>
        <c:axPos val="l"/>
        <c:numFmt formatCode="0%" sourceLinked="0"/>
        <c:majorTickMark val="out"/>
        <c:minorTickMark val="none"/>
        <c:tickLblPos val="nextTo"/>
        <c:txPr>
          <a:bodyPr rot="0" vert="horz"/>
          <a:lstStyle/>
          <a:p>
            <a:pPr>
              <a:defRPr/>
            </a:pPr>
            <a:endParaRPr lang="en-US"/>
          </a:p>
        </c:txPr>
        <c:crossAx val="254026288"/>
        <c:crosses val="autoZero"/>
        <c:crossBetween val="between"/>
      </c:valAx>
    </c:plotArea>
    <c:legend>
      <c:legendPos val="t"/>
      <c:overlay val="0"/>
    </c:legend>
    <c:plotVisOnly val="1"/>
    <c:dispBlanksAs val="gap"/>
    <c:showDLblsOverMax val="0"/>
  </c:chart>
  <c:spPr>
    <a:ln w="3175" cmpd="sng"/>
  </c:sp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Participation</a:t>
            </a:r>
          </a:p>
        </c:rich>
      </c:tx>
      <c:overlay val="0"/>
    </c:title>
    <c:autoTitleDeleted val="0"/>
    <c:plotArea>
      <c:layout>
        <c:manualLayout>
          <c:layoutTarget val="inner"/>
          <c:xMode val="edge"/>
          <c:yMode val="edge"/>
          <c:x val="0.15751441201702701"/>
          <c:y val="0.21038062283737"/>
          <c:w val="0.63550312283136701"/>
          <c:h val="0.62275744943646705"/>
        </c:manualLayout>
      </c:layout>
      <c:areaChart>
        <c:grouping val="stacked"/>
        <c:varyColors val="0"/>
        <c:ser>
          <c:idx val="1"/>
          <c:order val="0"/>
          <c:tx>
            <c:v>Non-Partic</c:v>
          </c:tx>
          <c:spPr>
            <a:solidFill>
              <a:schemeClr val="accent2"/>
            </a:solidFill>
            <a:ln w="25400" cap="flat" cmpd="sng" algn="ctr">
              <a:solidFill>
                <a:schemeClr val="accent2">
                  <a:shade val="50000"/>
                </a:schemeClr>
              </a:solidFill>
              <a:prstDash val="solid"/>
            </a:ln>
            <a:effectLst/>
          </c:spPr>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Calc'!$G$198:$AF$198</c:f>
              <c:numCache>
                <c:formatCode>_(* #,##0_);_(* \(#,##0\);_(* "-"??_);_(@_)</c:formatCode>
                <c:ptCount val="26"/>
                <c:pt idx="0">
                  <c:v>2062040</c:v>
                </c:pt>
                <c:pt idx="1">
                  <c:v>2017513.808</c:v>
                </c:pt>
                <c:pt idx="2">
                  <c:v>1972546.5606416001</c:v>
                </c:pt>
                <c:pt idx="3">
                  <c:v>1927133.8902781443</c:v>
                </c:pt>
                <c:pt idx="4">
                  <c:v>1881271.3860241612</c:v>
                </c:pt>
                <c:pt idx="5">
                  <c:v>1834954.5933274394</c:v>
                </c:pt>
                <c:pt idx="6">
                  <c:v>1788179.0135368695</c:v>
                </c:pt>
                <c:pt idx="7">
                  <c:v>1740940.1034660104</c:v>
                </c:pt>
                <c:pt idx="8">
                  <c:v>1693233.2749523392</c:v>
                </c:pt>
                <c:pt idx="9">
                  <c:v>1645053.8944121385</c:v>
                </c:pt>
                <c:pt idx="10">
                  <c:v>1596397.2823909803</c:v>
                </c:pt>
                <c:pt idx="11">
                  <c:v>1619676.6350295979</c:v>
                </c:pt>
                <c:pt idx="12">
                  <c:v>1643193.4370651294</c:v>
                </c:pt>
                <c:pt idx="13">
                  <c:v>1666950.1104814236</c:v>
                </c:pt>
                <c:pt idx="14">
                  <c:v>1690949.1019665638</c:v>
                </c:pt>
                <c:pt idx="15">
                  <c:v>1715192.8831648526</c:v>
                </c:pt>
                <c:pt idx="16">
                  <c:v>1739683.950931364</c:v>
                </c:pt>
                <c:pt idx="17">
                  <c:v>1764424.8275890935</c:v>
                </c:pt>
                <c:pt idx="18">
                  <c:v>1789418.061188732</c:v>
                </c:pt>
                <c:pt idx="19">
                  <c:v>1814666.225771087</c:v>
                </c:pt>
                <c:pt idx="20">
                  <c:v>1840171.9216321821</c:v>
                </c:pt>
                <c:pt idx="21">
                  <c:v>1865937.7755910603</c:v>
                </c:pt>
                <c:pt idx="22">
                  <c:v>1891966.441260319</c:v>
                </c:pt>
                <c:pt idx="23">
                  <c:v>1918260.5993194042</c:v>
                </c:pt>
                <c:pt idx="24">
                  <c:v>1944822.9577906921</c:v>
                </c:pt>
                <c:pt idx="25">
                  <c:v>1971656.2523183872</c:v>
                </c:pt>
              </c:numCache>
            </c:numRef>
          </c:val>
        </c:ser>
        <c:ser>
          <c:idx val="0"/>
          <c:order val="1"/>
          <c:tx>
            <c:v>Participants</c:v>
          </c:tx>
          <c:spPr>
            <a:solidFill>
              <a:schemeClr val="accent1"/>
            </a:solidFill>
            <a:ln w="25400" cap="flat" cmpd="sng" algn="ctr">
              <a:solidFill>
                <a:schemeClr val="accent1">
                  <a:shade val="50000"/>
                </a:schemeClr>
              </a:solidFill>
              <a:prstDash val="solid"/>
            </a:ln>
            <a:effectLst/>
          </c:spPr>
          <c:cat>
            <c:numRef>
              <c:f>'Customer Calc'!$G$6:$AF$6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Calc'!$G$196:$AF$196</c:f>
              <c:numCache>
                <c:formatCode>_(* #,##0_);_(* \(#,##0\);_(* "-"??_);_(@_)</c:formatCode>
                <c:ptCount val="26"/>
                <c:pt idx="0">
                  <c:v>0</c:v>
                </c:pt>
                <c:pt idx="1">
                  <c:v>65559</c:v>
                </c:pt>
                <c:pt idx="2">
                  <c:v>131773.59</c:v>
                </c:pt>
                <c:pt idx="3">
                  <c:v>198650.3259</c:v>
                </c:pt>
                <c:pt idx="4">
                  <c:v>266195.82915900002</c:v>
                </c:pt>
                <c:pt idx="5">
                  <c:v>334416.78745059005</c:v>
                </c:pt>
                <c:pt idx="6">
                  <c:v>403319.95532509597</c:v>
                </c:pt>
                <c:pt idx="7">
                  <c:v>472912.15487834695</c:v>
                </c:pt>
                <c:pt idx="8">
                  <c:v>543200.27642713045</c:v>
                </c:pt>
                <c:pt idx="9">
                  <c:v>614191.27919140179</c:v>
                </c:pt>
                <c:pt idx="10">
                  <c:v>685892.19198331586</c:v>
                </c:pt>
                <c:pt idx="11">
                  <c:v>685892.19198331586</c:v>
                </c:pt>
                <c:pt idx="12">
                  <c:v>685892.19198331586</c:v>
                </c:pt>
                <c:pt idx="13">
                  <c:v>685892.19198331586</c:v>
                </c:pt>
                <c:pt idx="14">
                  <c:v>685892.19198331586</c:v>
                </c:pt>
                <c:pt idx="15">
                  <c:v>685892.19198331586</c:v>
                </c:pt>
                <c:pt idx="16">
                  <c:v>685892.19198331586</c:v>
                </c:pt>
                <c:pt idx="17">
                  <c:v>685892.19198331586</c:v>
                </c:pt>
                <c:pt idx="18">
                  <c:v>685892.19198331586</c:v>
                </c:pt>
                <c:pt idx="19">
                  <c:v>685892.19198331586</c:v>
                </c:pt>
                <c:pt idx="20">
                  <c:v>685892.19198331586</c:v>
                </c:pt>
                <c:pt idx="21">
                  <c:v>685892.19198331586</c:v>
                </c:pt>
                <c:pt idx="22">
                  <c:v>685892.19198331586</c:v>
                </c:pt>
                <c:pt idx="23">
                  <c:v>685892.19198331586</c:v>
                </c:pt>
                <c:pt idx="24">
                  <c:v>685892.19198331586</c:v>
                </c:pt>
                <c:pt idx="25">
                  <c:v>685892.19198331586</c:v>
                </c:pt>
              </c:numCache>
            </c:numRef>
          </c:val>
        </c:ser>
        <c:dLbls>
          <c:showLegendKey val="0"/>
          <c:showVal val="0"/>
          <c:showCatName val="0"/>
          <c:showSerName val="0"/>
          <c:showPercent val="0"/>
          <c:showBubbleSize val="0"/>
        </c:dLbls>
        <c:axId val="254030208"/>
        <c:axId val="254030768"/>
      </c:areaChart>
      <c:catAx>
        <c:axId val="254030208"/>
        <c:scaling>
          <c:orientation val="minMax"/>
        </c:scaling>
        <c:delete val="0"/>
        <c:axPos val="b"/>
        <c:numFmt formatCode="General" sourceLinked="1"/>
        <c:majorTickMark val="out"/>
        <c:minorTickMark val="none"/>
        <c:tickLblPos val="nextTo"/>
        <c:txPr>
          <a:bodyPr rot="-2700000" vert="horz" lIns="2" anchor="ctr" anchorCtr="1">
            <a:spAutoFit/>
          </a:bodyPr>
          <a:lstStyle/>
          <a:p>
            <a:pPr>
              <a:defRPr/>
            </a:pPr>
            <a:endParaRPr lang="en-US"/>
          </a:p>
        </c:txPr>
        <c:crossAx val="254030768"/>
        <c:crosses val="autoZero"/>
        <c:auto val="1"/>
        <c:lblAlgn val="ctr"/>
        <c:lblOffset val="100"/>
        <c:tickLblSkip val="2"/>
        <c:noMultiLvlLbl val="0"/>
      </c:catAx>
      <c:valAx>
        <c:axId val="254030768"/>
        <c:scaling>
          <c:orientation val="minMax"/>
        </c:scaling>
        <c:delete val="0"/>
        <c:axPos val="l"/>
        <c:numFmt formatCode="#,##0" sourceLinked="0"/>
        <c:majorTickMark val="out"/>
        <c:minorTickMark val="none"/>
        <c:tickLblPos val="nextTo"/>
        <c:txPr>
          <a:bodyPr rot="0" vert="horz"/>
          <a:lstStyle/>
          <a:p>
            <a:pPr>
              <a:defRPr/>
            </a:pPr>
            <a:endParaRPr lang="en-US"/>
          </a:p>
        </c:txPr>
        <c:crossAx val="254030208"/>
        <c:crosses val="autoZero"/>
        <c:crossBetween val="midCat"/>
      </c:valAx>
    </c:plotArea>
    <c:legend>
      <c:legendPos val="r"/>
      <c:layout>
        <c:manualLayout>
          <c:xMode val="edge"/>
          <c:yMode val="edge"/>
          <c:x val="0.80021376231510299"/>
          <c:y val="0.43517714264955598"/>
          <c:w val="0.186722776563159"/>
          <c:h val="0.185309466074526"/>
        </c:manualLayout>
      </c:layout>
      <c:overlay val="0"/>
    </c:legend>
    <c:plotVisOnly val="1"/>
    <c:dispBlanksAs val="gap"/>
    <c:showDLblsOverMax val="0"/>
  </c:chart>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lgn="ctr" rtl="0">
              <a:defRPr sz="1800" b="1" i="0" u="none" strike="noStrike" baseline="0">
                <a:solidFill>
                  <a:srgbClr val="000000"/>
                </a:solidFill>
                <a:latin typeface="Calibri"/>
                <a:ea typeface="Calibri"/>
                <a:cs typeface="Calibri"/>
              </a:defRPr>
            </a:pPr>
            <a:r>
              <a:rPr lang="en-US" sz="1800" b="1" i="0" baseline="0">
                <a:effectLst/>
              </a:rPr>
              <a:t>% Rate Difference </a:t>
            </a:r>
            <a:endParaRPr lang="en-US">
              <a:effectLst/>
            </a:endParaRPr>
          </a:p>
          <a:p>
            <a:pPr algn="ctr" rtl="0">
              <a:defRPr sz="1800" b="1" i="0" u="none" strike="noStrike" baseline="0">
                <a:solidFill>
                  <a:srgbClr val="000000"/>
                </a:solidFill>
                <a:latin typeface="Calibri"/>
                <a:ea typeface="Calibri"/>
                <a:cs typeface="Calibri"/>
              </a:defRPr>
            </a:pPr>
            <a:r>
              <a:rPr lang="en-US" sz="1800" b="1" i="0" baseline="0">
                <a:effectLst/>
              </a:rPr>
              <a:t>(Base Case - EE Case)</a:t>
            </a:r>
            <a:endParaRPr lang="en-US">
              <a:effectLst/>
            </a:endParaRPr>
          </a:p>
        </c:rich>
      </c:tx>
      <c:layout>
        <c:manualLayout>
          <c:xMode val="edge"/>
          <c:yMode val="edge"/>
          <c:x val="0.27641674908609998"/>
          <c:y val="4.61361014994233E-3"/>
        </c:manualLayout>
      </c:layout>
      <c:overlay val="0"/>
      <c:spPr>
        <a:noFill/>
        <a:ln w="25400">
          <a:noFill/>
        </a:ln>
      </c:spPr>
    </c:title>
    <c:autoTitleDeleted val="0"/>
    <c:plotArea>
      <c:layout>
        <c:manualLayout>
          <c:layoutTarget val="inner"/>
          <c:xMode val="edge"/>
          <c:yMode val="edge"/>
          <c:x val="0.100696257520204"/>
          <c:y val="0.21314878892733599"/>
          <c:w val="0.85836060915702705"/>
          <c:h val="0.57385318184707901"/>
        </c:manualLayout>
      </c:layout>
      <c:barChart>
        <c:barDir val="col"/>
        <c:grouping val="clustered"/>
        <c:varyColors val="0"/>
        <c:ser>
          <c:idx val="0"/>
          <c:order val="0"/>
          <c:spPr>
            <a:solidFill>
              <a:srgbClr val="9BBB59"/>
            </a:solidFill>
          </c:spPr>
          <c:invertIfNegative val="0"/>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Calc'!$AM$161:$BL$161</c:f>
              <c:numCache>
                <c:formatCode>0.00%</c:formatCode>
                <c:ptCount val="26"/>
                <c:pt idx="0">
                  <c:v>0</c:v>
                </c:pt>
                <c:pt idx="1">
                  <c:v>5.1959182367409332E-3</c:v>
                </c:pt>
                <c:pt idx="2">
                  <c:v>6.3704933094064246E-3</c:v>
                </c:pt>
                <c:pt idx="3">
                  <c:v>7.5215249726558993E-3</c:v>
                </c:pt>
                <c:pt idx="4">
                  <c:v>8.6504218117142567E-3</c:v>
                </c:pt>
                <c:pt idx="5">
                  <c:v>9.7588740760424734E-3</c:v>
                </c:pt>
                <c:pt idx="6">
                  <c:v>1.0848847733307607E-2</c:v>
                </c:pt>
                <c:pt idx="7">
                  <c:v>1.1922579547130076E-2</c:v>
                </c:pt>
                <c:pt idx="8">
                  <c:v>1.2982573793613918E-2</c:v>
                </c:pt>
                <c:pt idx="9">
                  <c:v>1.4031601249795486E-2</c:v>
                </c:pt>
                <c:pt idx="10">
                  <c:v>1.507270111389674E-2</c:v>
                </c:pt>
                <c:pt idx="11">
                  <c:v>1.3358824347719404E-2</c:v>
                </c:pt>
                <c:pt idx="12">
                  <c:v>1.2836289823676673E-2</c:v>
                </c:pt>
                <c:pt idx="13">
                  <c:v>1.2335296144377617E-2</c:v>
                </c:pt>
                <c:pt idx="14">
                  <c:v>1.1855352755332038E-2</c:v>
                </c:pt>
                <c:pt idx="15">
                  <c:v>1.1395922737116183E-2</c:v>
                </c:pt>
                <c:pt idx="16">
                  <c:v>1.0956430826737067E-2</c:v>
                </c:pt>
                <c:pt idx="17">
                  <c:v>1.0536270925238664E-2</c:v>
                </c:pt>
                <c:pt idx="18">
                  <c:v>1.0134813055429888E-2</c:v>
                </c:pt>
                <c:pt idx="19">
                  <c:v>9.7514097487050727E-3</c:v>
                </c:pt>
                <c:pt idx="20">
                  <c:v>9.3854018530154966E-3</c:v>
                </c:pt>
                <c:pt idx="21">
                  <c:v>9.0361237651198825E-3</c:v>
                </c:pt>
                <c:pt idx="22">
                  <c:v>8.7029080993972323E-3</c:v>
                </c:pt>
                <c:pt idx="23">
                  <c:v>8.3850898128375664E-3</c:v>
                </c:pt>
                <c:pt idx="24">
                  <c:v>8.0820098115069513E-3</c:v>
                </c:pt>
                <c:pt idx="25">
                  <c:v>7.7930180679555159E-3</c:v>
                </c:pt>
              </c:numCache>
            </c:numRef>
          </c:val>
        </c:ser>
        <c:dLbls>
          <c:showLegendKey val="0"/>
          <c:showVal val="0"/>
          <c:showCatName val="0"/>
          <c:showSerName val="0"/>
          <c:showPercent val="0"/>
          <c:showBubbleSize val="0"/>
        </c:dLbls>
        <c:gapWidth val="150"/>
        <c:axId val="253979056"/>
        <c:axId val="253979616"/>
      </c:barChart>
      <c:dateAx>
        <c:axId val="25397905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Year</a:t>
                </a:r>
              </a:p>
            </c:rich>
          </c:tx>
          <c:overlay val="0"/>
          <c:spPr>
            <a:noFill/>
            <a:ln w="25400">
              <a:noFill/>
            </a:ln>
          </c:spPr>
        </c:title>
        <c:numFmt formatCode="General" sourceLinked="1"/>
        <c:majorTickMark val="out"/>
        <c:minorTickMark val="none"/>
        <c:tickLblPos val="nextTo"/>
        <c:spPr>
          <a:ln w="3175">
            <a:solidFill>
              <a:srgbClr val="808080"/>
            </a:solidFill>
            <a:prstDash val="solid"/>
          </a:ln>
        </c:spPr>
        <c:crossAx val="253979616"/>
        <c:crosses val="autoZero"/>
        <c:auto val="0"/>
        <c:lblOffset val="100"/>
        <c:baseTimeUnit val="days"/>
      </c:dateAx>
      <c:valAx>
        <c:axId val="253979616"/>
        <c:scaling>
          <c:orientation val="minMax"/>
        </c:scaling>
        <c:delete val="0"/>
        <c:axPos val="l"/>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397905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Rate comparison</a:t>
            </a:r>
          </a:p>
        </c:rich>
      </c:tx>
      <c:overlay val="0"/>
    </c:title>
    <c:autoTitleDeleted val="0"/>
    <c:plotArea>
      <c:layout>
        <c:manualLayout>
          <c:layoutTarget val="inner"/>
          <c:xMode val="edge"/>
          <c:yMode val="edge"/>
          <c:x val="0.11550300131872"/>
          <c:y val="0.138634441528142"/>
          <c:w val="0.69591153086406199"/>
          <c:h val="0.67339165937591094"/>
        </c:manualLayout>
      </c:layout>
      <c:barChart>
        <c:barDir val="col"/>
        <c:grouping val="clustered"/>
        <c:varyColors val="0"/>
        <c:ser>
          <c:idx val="0"/>
          <c:order val="0"/>
          <c:tx>
            <c:v>Base Case</c:v>
          </c:tx>
          <c:invertIfNegative val="0"/>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Calc'!$AM$163:$BL$163</c:f>
              <c:numCache>
                <c:formatCode>_("$"* #,##0.00_);_("$"* \(#,##0.00\);_("$"* "-"??_);_(@_)</c:formatCode>
                <c:ptCount val="26"/>
                <c:pt idx="0">
                  <c:v>6.1831050228310508E-2</c:v>
                </c:pt>
                <c:pt idx="1">
                  <c:v>6.496853442554755E-2</c:v>
                </c:pt>
                <c:pt idx="2">
                  <c:v>6.787983928519585E-2</c:v>
                </c:pt>
                <c:pt idx="3">
                  <c:v>7.0985799293959179E-2</c:v>
                </c:pt>
                <c:pt idx="4">
                  <c:v>7.4298773310946045E-2</c:v>
                </c:pt>
                <c:pt idx="5">
                  <c:v>7.7831912906173015E-2</c:v>
                </c:pt>
                <c:pt idx="6">
                  <c:v>8.1599213300784512E-2</c:v>
                </c:pt>
                <c:pt idx="7">
                  <c:v>8.5615567587137648E-2</c:v>
                </c:pt>
                <c:pt idx="8">
                  <c:v>8.989682444018364E-2</c:v>
                </c:pt>
                <c:pt idx="9">
                  <c:v>9.4459849545220506E-2</c:v>
                </c:pt>
                <c:pt idx="10">
                  <c:v>9.9322590981617567E-2</c:v>
                </c:pt>
                <c:pt idx="11">
                  <c:v>0.10450414881757808</c:v>
                </c:pt>
                <c:pt idx="12">
                  <c:v>0.11002484918747231</c:v>
                </c:pt>
                <c:pt idx="13">
                  <c:v>0.1159063231408058</c:v>
                </c:pt>
                <c:pt idx="14">
                  <c:v>0.12217159057055389</c:v>
                </c:pt>
                <c:pt idx="15">
                  <c:v>0.12884514954846882</c:v>
                </c:pt>
                <c:pt idx="16">
                  <c:v>0.13595307141612761</c:v>
                </c:pt>
                <c:pt idx="17">
                  <c:v>0.14352310200302065</c:v>
                </c:pt>
                <c:pt idx="18">
                  <c:v>0.15158476936697213</c:v>
                </c:pt>
                <c:pt idx="19">
                  <c:v>0.16016949847772624</c:v>
                </c:pt>
                <c:pt idx="20">
                  <c:v>0.16931073329173235</c:v>
                </c:pt>
                <c:pt idx="21">
                  <c:v>0.1790440666951193</c:v>
                </c:pt>
                <c:pt idx="22">
                  <c:v>0.18940737882268355</c:v>
                </c:pt>
                <c:pt idx="23">
                  <c:v>0.20044098429354318</c:v>
                </c:pt>
                <c:pt idx="24">
                  <c:v>0.21218778893906587</c:v>
                </c:pt>
                <c:pt idx="25">
                  <c:v>0.22469345663589302</c:v>
                </c:pt>
              </c:numCache>
            </c:numRef>
          </c:val>
        </c:ser>
        <c:ser>
          <c:idx val="1"/>
          <c:order val="1"/>
          <c:tx>
            <c:v>w/ EE</c:v>
          </c:tx>
          <c:invertIfNegative val="0"/>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Calc'!$AM$164:$BL$164</c:f>
              <c:numCache>
                <c:formatCode>_("$"* #,##0.00_);_("$"* \(#,##0.00\);_("$"* "-"??_);_(@_)</c:formatCode>
                <c:ptCount val="26"/>
                <c:pt idx="0">
                  <c:v>6.1831050228310508E-2</c:v>
                </c:pt>
                <c:pt idx="1">
                  <c:v>6.5306105618383584E-2</c:v>
                </c:pt>
                <c:pt idx="2">
                  <c:v>6.8312267347205774E-2</c:v>
                </c:pt>
                <c:pt idx="3">
                  <c:v>7.1519720756052632E-2</c:v>
                </c:pt>
                <c:pt idx="4">
                  <c:v>7.4941489040178666E-2</c:v>
                </c:pt>
                <c:pt idx="5">
                  <c:v>7.8591464743321862E-2</c:v>
                </c:pt>
                <c:pt idx="6">
                  <c:v>8.2484470741042412E-2</c:v>
                </c:pt>
                <c:pt idx="7">
                  <c:v>8.6636326002167988E-2</c:v>
                </c:pt>
                <c:pt idx="8">
                  <c:v>9.1063916597289879E-2</c:v>
                </c:pt>
                <c:pt idx="9">
                  <c:v>9.5785272488154716E-2</c:v>
                </c:pt>
                <c:pt idx="10">
                  <c:v>0.1008196507093413</c:v>
                </c:pt>
                <c:pt idx="11">
                  <c:v>0.10590020138524003</c:v>
                </c:pt>
                <c:pt idx="12">
                  <c:v>0.11143716003944902</c:v>
                </c:pt>
                <c:pt idx="13">
                  <c:v>0.11733606196175357</c:v>
                </c:pt>
                <c:pt idx="14">
                  <c:v>0.12361997787344781</c:v>
                </c:pt>
                <c:pt idx="15">
                  <c:v>0.13031345891777535</c:v>
                </c:pt>
                <c:pt idx="16">
                  <c:v>0.13744263183878086</c:v>
                </c:pt>
                <c:pt idx="17">
                  <c:v>0.14503530028975514</c:v>
                </c:pt>
                <c:pt idx="18">
                  <c:v>0.15312105266655684</c:v>
                </c:pt>
                <c:pt idx="19">
                  <c:v>0.16173137688662714</c:v>
                </c:pt>
                <c:pt idx="20">
                  <c:v>0.17089978256170399</c:v>
                </c:pt>
                <c:pt idx="21">
                  <c:v>0.18066193104118677</c:v>
                </c:pt>
                <c:pt idx="22">
                  <c:v>0.19105577383392508</c:v>
                </c:pt>
                <c:pt idx="23">
                  <c:v>0.2021216999490181</c:v>
                </c:pt>
                <c:pt idx="24">
                  <c:v>0.21390269273115337</c:v>
                </c:pt>
                <c:pt idx="25">
                  <c:v>0.22644449680320791</c:v>
                </c:pt>
              </c:numCache>
            </c:numRef>
          </c:val>
        </c:ser>
        <c:dLbls>
          <c:showLegendKey val="0"/>
          <c:showVal val="0"/>
          <c:showCatName val="0"/>
          <c:showSerName val="0"/>
          <c:showPercent val="0"/>
          <c:showBubbleSize val="0"/>
        </c:dLbls>
        <c:gapWidth val="150"/>
        <c:axId val="253982416"/>
        <c:axId val="253982976"/>
      </c:barChart>
      <c:catAx>
        <c:axId val="253982416"/>
        <c:scaling>
          <c:orientation val="minMax"/>
        </c:scaling>
        <c:delete val="0"/>
        <c:axPos val="b"/>
        <c:numFmt formatCode="General" sourceLinked="1"/>
        <c:majorTickMark val="out"/>
        <c:minorTickMark val="none"/>
        <c:tickLblPos val="nextTo"/>
        <c:txPr>
          <a:bodyPr rot="-2700000"/>
          <a:lstStyle/>
          <a:p>
            <a:pPr>
              <a:defRPr/>
            </a:pPr>
            <a:endParaRPr lang="en-US"/>
          </a:p>
        </c:txPr>
        <c:crossAx val="253982976"/>
        <c:crosses val="autoZero"/>
        <c:auto val="1"/>
        <c:lblAlgn val="ctr"/>
        <c:lblOffset val="100"/>
        <c:tickLblSkip val="2"/>
        <c:noMultiLvlLbl val="0"/>
      </c:catAx>
      <c:valAx>
        <c:axId val="253982976"/>
        <c:scaling>
          <c:orientation val="minMax"/>
          <c:min val="0"/>
        </c:scaling>
        <c:delete val="0"/>
        <c:axPos val="l"/>
        <c:numFmt formatCode="_(&quot;$&quot;* #,##0.00_);_(&quot;$&quot;* \(#,##0.00\);_(&quot;$&quot;* &quot;-&quot;??_);_(@_)" sourceLinked="1"/>
        <c:majorTickMark val="out"/>
        <c:minorTickMark val="none"/>
        <c:tickLblPos val="nextTo"/>
        <c:txPr>
          <a:bodyPr rot="0" vert="horz"/>
          <a:lstStyle/>
          <a:p>
            <a:pPr>
              <a:defRPr/>
            </a:pPr>
            <a:endParaRPr lang="en-US"/>
          </a:p>
        </c:txPr>
        <c:crossAx val="253982416"/>
        <c:crosses val="autoZero"/>
        <c:crossBetween val="between"/>
      </c:valAx>
    </c:plotArea>
    <c:legend>
      <c:legendPos val="b"/>
      <c:layout>
        <c:manualLayout>
          <c:xMode val="edge"/>
          <c:yMode val="edge"/>
          <c:x val="0.81623327660831801"/>
          <c:y val="0.37461614173228303"/>
          <c:w val="0.16530946140419001"/>
          <c:h val="0.157791265675124"/>
        </c:manualLayout>
      </c:layout>
      <c:overlay val="0"/>
    </c:legend>
    <c:plotVisOnly val="1"/>
    <c:dispBlanksAs val="gap"/>
    <c:showDLblsOverMax val="0"/>
  </c:chart>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Rate breakdown</a:t>
            </a:r>
          </a:p>
        </c:rich>
      </c:tx>
      <c:overlay val="0"/>
    </c:title>
    <c:autoTitleDeleted val="0"/>
    <c:plotArea>
      <c:layout>
        <c:manualLayout>
          <c:layoutTarget val="inner"/>
          <c:xMode val="edge"/>
          <c:yMode val="edge"/>
          <c:x val="0.117856341619563"/>
          <c:y val="0.21184668989547001"/>
          <c:w val="0.584946676661943"/>
          <c:h val="0.72775842044134698"/>
        </c:manualLayout>
      </c:layout>
      <c:barChart>
        <c:barDir val="col"/>
        <c:grouping val="stacked"/>
        <c:varyColors val="0"/>
        <c:ser>
          <c:idx val="0"/>
          <c:order val="0"/>
          <c:tx>
            <c:strRef>
              <c:f>'Customer Calc'!$AI$166</c:f>
              <c:strCache>
                <c:ptCount val="1"/>
                <c:pt idx="0">
                  <c:v>Variable Cost Rate</c:v>
                </c:pt>
              </c:strCache>
            </c:strRef>
          </c:tx>
          <c:invertIfNegative val="0"/>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Calc'!$AM$166:$BL$166</c:f>
              <c:numCache>
                <c:formatCode>_("$"* #,##0.00_);_("$"* \(#,##0.00\);_("$"* "-"??_);_(@_)</c:formatCode>
                <c:ptCount val="26"/>
                <c:pt idx="0">
                  <c:v>3.9E-2</c:v>
                </c:pt>
                <c:pt idx="1">
                  <c:v>4.1534999999999996E-2</c:v>
                </c:pt>
                <c:pt idx="2">
                  <c:v>4.423477499999999E-2</c:v>
                </c:pt>
                <c:pt idx="3">
                  <c:v>4.7110035374999984E-2</c:v>
                </c:pt>
                <c:pt idx="4">
                  <c:v>5.017218767437498E-2</c:v>
                </c:pt>
                <c:pt idx="5">
                  <c:v>5.3433379873209348E-2</c:v>
                </c:pt>
                <c:pt idx="6">
                  <c:v>5.6906549564967955E-2</c:v>
                </c:pt>
                <c:pt idx="7">
                  <c:v>6.0605475286690871E-2</c:v>
                </c:pt>
                <c:pt idx="8">
                  <c:v>6.4544831180325779E-2</c:v>
                </c:pt>
                <c:pt idx="9">
                  <c:v>6.8740245207046954E-2</c:v>
                </c:pt>
                <c:pt idx="10">
                  <c:v>7.3208361145504997E-2</c:v>
                </c:pt>
                <c:pt idx="11">
                  <c:v>7.7966904619962821E-2</c:v>
                </c:pt>
                <c:pt idx="12">
                  <c:v>8.3034753420260399E-2</c:v>
                </c:pt>
                <c:pt idx="13">
                  <c:v>8.8432012392577322E-2</c:v>
                </c:pt>
                <c:pt idx="14">
                  <c:v>9.4180093198094839E-2</c:v>
                </c:pt>
                <c:pt idx="15">
                  <c:v>0.10030179925597099</c:v>
                </c:pt>
                <c:pt idx="16">
                  <c:v>0.1068214162076091</c:v>
                </c:pt>
                <c:pt idx="17">
                  <c:v>0.11376480826110369</c:v>
                </c:pt>
                <c:pt idx="18">
                  <c:v>0.12115952079807542</c:v>
                </c:pt>
                <c:pt idx="19">
                  <c:v>0.1290348896499503</c:v>
                </c:pt>
                <c:pt idx="20">
                  <c:v>0.13742215747719708</c:v>
                </c:pt>
                <c:pt idx="21">
                  <c:v>0.14635459771321488</c:v>
                </c:pt>
                <c:pt idx="22">
                  <c:v>0.15586764656457383</c:v>
                </c:pt>
                <c:pt idx="23">
                  <c:v>0.16599904359127113</c:v>
                </c:pt>
                <c:pt idx="24">
                  <c:v>0.17678898142470376</c:v>
                </c:pt>
                <c:pt idx="25">
                  <c:v>0.18828026521730948</c:v>
                </c:pt>
              </c:numCache>
            </c:numRef>
          </c:val>
        </c:ser>
        <c:ser>
          <c:idx val="1"/>
          <c:order val="1"/>
          <c:tx>
            <c:strRef>
              <c:f>'Customer Calc'!$AI$167</c:f>
              <c:strCache>
                <c:ptCount val="1"/>
                <c:pt idx="0">
                  <c:v>Fixed Cost Rate</c:v>
                </c:pt>
              </c:strCache>
            </c:strRef>
          </c:tx>
          <c:invertIfNegative val="0"/>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Calc'!$AM$167:$BL$167</c:f>
              <c:numCache>
                <c:formatCode>_("$"* #,##0.00_);_("$"* \(#,##0.00\);_("$"* "-"??_);_(@_)</c:formatCode>
                <c:ptCount val="26"/>
                <c:pt idx="0">
                  <c:v>2.2831050228310504E-2</c:v>
                </c:pt>
                <c:pt idx="1">
                  <c:v>2.3433534425547551E-2</c:v>
                </c:pt>
                <c:pt idx="2">
                  <c:v>2.3645064285195864E-2</c:v>
                </c:pt>
                <c:pt idx="3">
                  <c:v>2.3875763918959198E-2</c:v>
                </c:pt>
                <c:pt idx="4">
                  <c:v>2.4126585636571062E-2</c:v>
                </c:pt>
                <c:pt idx="5">
                  <c:v>2.439853303296367E-2</c:v>
                </c:pt>
                <c:pt idx="6">
                  <c:v>2.4692663735816564E-2</c:v>
                </c:pt>
                <c:pt idx="7">
                  <c:v>2.5010092300446776E-2</c:v>
                </c:pt>
                <c:pt idx="8">
                  <c:v>2.5351993259857857E-2</c:v>
                </c:pt>
                <c:pt idx="9">
                  <c:v>2.5719604338173548E-2</c:v>
                </c:pt>
                <c:pt idx="10">
                  <c:v>2.6114229836112574E-2</c:v>
                </c:pt>
                <c:pt idx="11">
                  <c:v>2.6537244197615259E-2</c:v>
                </c:pt>
                <c:pt idx="12">
                  <c:v>2.6990095767211911E-2</c:v>
                </c:pt>
                <c:pt idx="13">
                  <c:v>2.7474310748228484E-2</c:v>
                </c:pt>
                <c:pt idx="14">
                  <c:v>2.7991497372459057E-2</c:v>
                </c:pt>
                <c:pt idx="15">
                  <c:v>2.854335029249783E-2</c:v>
                </c:pt>
                <c:pt idx="16">
                  <c:v>2.91316552085185E-2</c:v>
                </c:pt>
                <c:pt idx="17">
                  <c:v>2.9758293741916977E-2</c:v>
                </c:pt>
                <c:pt idx="18">
                  <c:v>3.042524856889672E-2</c:v>
                </c:pt>
                <c:pt idx="19">
                  <c:v>3.1134608827775939E-2</c:v>
                </c:pt>
                <c:pt idx="20">
                  <c:v>3.1888575814535275E-2</c:v>
                </c:pt>
                <c:pt idx="21">
                  <c:v>3.2689468981904432E-2</c:v>
                </c:pt>
                <c:pt idx="22">
                  <c:v>3.3539732258109724E-2</c:v>
                </c:pt>
                <c:pt idx="23">
                  <c:v>3.4441940702272043E-2</c:v>
                </c:pt>
                <c:pt idx="24">
                  <c:v>3.5398807514362106E-2</c:v>
                </c:pt>
                <c:pt idx="25">
                  <c:v>3.6413191418583547E-2</c:v>
                </c:pt>
              </c:numCache>
            </c:numRef>
          </c:val>
        </c:ser>
        <c:ser>
          <c:idx val="2"/>
          <c:order val="2"/>
          <c:tx>
            <c:strRef>
              <c:f>'Customer Calc'!$AI$168</c:f>
              <c:strCache>
                <c:ptCount val="1"/>
                <c:pt idx="0">
                  <c:v>Demand Rate</c:v>
                </c:pt>
              </c:strCache>
            </c:strRef>
          </c:tx>
          <c:invertIfNegative val="0"/>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Calc'!$AM$168:$BL$168</c:f>
              <c:numCache>
                <c:formatCode>_("$"* #,##0.00_);_("$"* \(#,##0.00\);_("$"* "-"??_);_(@_)</c:formatCode>
                <c:ptCount val="26"/>
                <c:pt idx="0">
                  <c:v>2.2831050228310504E-2</c:v>
                </c:pt>
                <c:pt idx="1">
                  <c:v>2.3433534425547551E-2</c:v>
                </c:pt>
                <c:pt idx="2">
                  <c:v>2.364506428519586E-2</c:v>
                </c:pt>
                <c:pt idx="3">
                  <c:v>2.3875763918959198E-2</c:v>
                </c:pt>
                <c:pt idx="4">
                  <c:v>2.4126585636571059E-2</c:v>
                </c:pt>
                <c:pt idx="5">
                  <c:v>2.4398533032963667E-2</c:v>
                </c:pt>
                <c:pt idx="6">
                  <c:v>2.4692663735816557E-2</c:v>
                </c:pt>
                <c:pt idx="7">
                  <c:v>2.5010092300446766E-2</c:v>
                </c:pt>
                <c:pt idx="8">
                  <c:v>2.5351993259857847E-2</c:v>
                </c:pt>
                <c:pt idx="9">
                  <c:v>2.5719604338173538E-2</c:v>
                </c:pt>
                <c:pt idx="10">
                  <c:v>2.6114229836112564E-2</c:v>
                </c:pt>
                <c:pt idx="11">
                  <c:v>2.6537244197615249E-2</c:v>
                </c:pt>
                <c:pt idx="12">
                  <c:v>2.6990095767211904E-2</c:v>
                </c:pt>
                <c:pt idx="13">
                  <c:v>2.7474310748228471E-2</c:v>
                </c:pt>
                <c:pt idx="14">
                  <c:v>2.7991497372459047E-2</c:v>
                </c:pt>
                <c:pt idx="15">
                  <c:v>2.8543350292497823E-2</c:v>
                </c:pt>
                <c:pt idx="16">
                  <c:v>2.9131655208518493E-2</c:v>
                </c:pt>
                <c:pt idx="17">
                  <c:v>2.9758293741916974E-2</c:v>
                </c:pt>
                <c:pt idx="18">
                  <c:v>3.042524856889672E-2</c:v>
                </c:pt>
                <c:pt idx="19">
                  <c:v>3.1134608827775932E-2</c:v>
                </c:pt>
                <c:pt idx="20">
                  <c:v>3.1888575814535268E-2</c:v>
                </c:pt>
                <c:pt idx="21">
                  <c:v>3.2689468981904432E-2</c:v>
                </c:pt>
                <c:pt idx="22">
                  <c:v>3.3539732258109724E-2</c:v>
                </c:pt>
                <c:pt idx="23">
                  <c:v>3.4441940702272043E-2</c:v>
                </c:pt>
                <c:pt idx="24">
                  <c:v>3.5398807514362099E-2</c:v>
                </c:pt>
                <c:pt idx="25">
                  <c:v>3.6413191418583533E-2</c:v>
                </c:pt>
              </c:numCache>
            </c:numRef>
          </c:val>
        </c:ser>
        <c:ser>
          <c:idx val="3"/>
          <c:order val="3"/>
          <c:tx>
            <c:strRef>
              <c:f>'Customer Calc'!$AI$169</c:f>
              <c:strCache>
                <c:ptCount val="1"/>
                <c:pt idx="0">
                  <c:v>EE Program Cost Recovery Rate</c:v>
                </c:pt>
              </c:strCache>
            </c:strRef>
          </c:tx>
          <c:invertIfNegative val="0"/>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Calc'!$AM$169:$BL$169</c:f>
              <c:numCache>
                <c:formatCode>_("$"* #,##0.0000_);_("$"* \(#,##0.0000\);_("$"* "-"??_);_(@_)</c:formatCode>
                <c:ptCount val="26"/>
                <c:pt idx="0">
                  <c:v>0</c:v>
                </c:pt>
                <c:pt idx="1">
                  <c:v>2.4484389404384044E-4</c:v>
                </c:pt>
                <c:pt idx="2">
                  <c:v>2.5019523744939135E-4</c:v>
                </c:pt>
                <c:pt idx="3">
                  <c:v>2.5573329203229349E-4</c:v>
                </c:pt>
                <c:pt idx="4">
                  <c:v>2.6146988436329512E-4</c:v>
                </c:pt>
                <c:pt idx="5">
                  <c:v>2.6741793980497743E-4</c:v>
                </c:pt>
                <c:pt idx="6">
                  <c:v>2.7359161130024751E-4</c:v>
                </c:pt>
                <c:pt idx="7">
                  <c:v>2.8000642649013858E-4</c:v>
                </c:pt>
                <c:pt idx="8">
                  <c:v>2.8667945627565438E-4</c:v>
                </c:pt>
                <c:pt idx="9">
                  <c:v>2.9362950855908601E-4</c:v>
                </c:pt>
                <c:pt idx="10">
                  <c:v>3.0087735166367763E-4</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4"/>
          <c:tx>
            <c:strRef>
              <c:f>'Customer Calc'!$AI$170</c:f>
              <c:strCache>
                <c:ptCount val="1"/>
                <c:pt idx="0">
                  <c:v>Fixed Cost Rate Recovery</c:v>
                </c:pt>
              </c:strCache>
            </c:strRef>
          </c:tx>
          <c:invertIfNegative val="0"/>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Calc'!$AM$170:$BL$170</c:f>
              <c:numCache>
                <c:formatCode>_("$"* #,##0.0000_);_("$"* \(#,##0.0000\);_("$"* "-"??_);_(@_)</c:formatCode>
                <c:ptCount val="26"/>
                <c:pt idx="0">
                  <c:v>0</c:v>
                </c:pt>
                <c:pt idx="1">
                  <c:v>1.0122192235390068E-4</c:v>
                </c:pt>
                <c:pt idx="2">
                  <c:v>2.1082523426185843E-4</c:v>
                </c:pt>
                <c:pt idx="3">
                  <c:v>3.2973665931638048E-4</c:v>
                </c:pt>
                <c:pt idx="4">
                  <c:v>4.5899725713554603E-4</c:v>
                </c:pt>
                <c:pt idx="5">
                  <c:v>5.9977807990769475E-4</c:v>
                </c:pt>
                <c:pt idx="6">
                  <c:v>7.5339822168796438E-4</c:v>
                </c:pt>
                <c:pt idx="7">
                  <c:v>9.2134567392461474E-4</c:v>
                </c:pt>
                <c:pt idx="8">
                  <c:v>1.1053014821985415E-3</c:v>
                </c:pt>
                <c:pt idx="9">
                  <c:v>1.3071677990093937E-3</c:v>
                </c:pt>
                <c:pt idx="10">
                  <c:v>1.5291005503282721E-3</c:v>
                </c:pt>
                <c:pt idx="11">
                  <c:v>1.5538698618120825E-3</c:v>
                </c:pt>
                <c:pt idx="12">
                  <c:v>1.5803862702466007E-3</c:v>
                </c:pt>
                <c:pt idx="13">
                  <c:v>1.6087391414052086E-3</c:v>
                </c:pt>
                <c:pt idx="14">
                  <c:v>1.6390226441811442E-3</c:v>
                </c:pt>
                <c:pt idx="15">
                  <c:v>1.6713360077774417E-3</c:v>
                </c:pt>
                <c:pt idx="16">
                  <c:v>1.7057837926247703E-3</c:v>
                </c:pt>
                <c:pt idx="17">
                  <c:v>1.742476175754195E-3</c:v>
                </c:pt>
                <c:pt idx="18">
                  <c:v>1.7815292513907004E-3</c:v>
                </c:pt>
                <c:pt idx="19">
                  <c:v>1.8230653475742949E-3</c:v>
                </c:pt>
                <c:pt idx="20">
                  <c:v>1.8672133596588276E-3</c:v>
                </c:pt>
                <c:pt idx="21">
                  <c:v>1.914109101584359E-3</c:v>
                </c:pt>
                <c:pt idx="22">
                  <c:v>1.9638956758669924E-3</c:v>
                </c:pt>
                <c:pt idx="23">
                  <c:v>2.0167238633010979E-3</c:v>
                </c:pt>
                <c:pt idx="24">
                  <c:v>2.0727525334223386E-3</c:v>
                </c:pt>
                <c:pt idx="25">
                  <c:v>2.13214907683654E-3</c:v>
                </c:pt>
              </c:numCache>
            </c:numRef>
          </c:val>
        </c:ser>
        <c:ser>
          <c:idx val="5"/>
          <c:order val="5"/>
          <c:tx>
            <c:strRef>
              <c:f>'Customer Calc'!$AI$171</c:f>
              <c:strCache>
                <c:ptCount val="1"/>
                <c:pt idx="0">
                  <c:v>Use-Shift Rate Impact</c:v>
                </c:pt>
              </c:strCache>
            </c:strRef>
          </c:tx>
          <c:invertIfNegative val="0"/>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Calc'!$AM$171:$BL$171</c:f>
              <c:numCache>
                <c:formatCode>_("$"* #,##0.0000_);_("$"* \(#,##0.0000\);_("$"* "-"??_);_(@_)</c:formatCode>
                <c:ptCount val="26"/>
                <c:pt idx="0">
                  <c:v>0</c:v>
                </c:pt>
                <c:pt idx="1">
                  <c:v>-2.195559490633589E-4</c:v>
                </c:pt>
                <c:pt idx="2">
                  <c:v>-2.4533681547458247E-4</c:v>
                </c:pt>
                <c:pt idx="3">
                  <c:v>-2.7427986149518302E-4</c:v>
                </c:pt>
                <c:pt idx="4">
                  <c:v>-3.0679390555141128E-4</c:v>
                </c:pt>
                <c:pt idx="5">
                  <c:v>-3.4334400491015105E-4</c:v>
                </c:pt>
                <c:pt idx="6">
                  <c:v>-3.8445979592179741E-4</c:v>
                </c:pt>
                <c:pt idx="7">
                  <c:v>-4.3074518986439825E-4</c:v>
                </c:pt>
                <c:pt idx="8">
                  <c:v>-4.82889669964362E-4</c:v>
                </c:pt>
                <c:pt idx="9">
                  <c:v>-5.4168148537712957E-4</c:v>
                </c:pt>
                <c:pt idx="10">
                  <c:v>-6.0802309976600022E-4</c:v>
                </c:pt>
                <c:pt idx="11">
                  <c:v>-1.5781729415012546E-4</c:v>
                </c:pt>
                <c:pt idx="12">
                  <c:v>-1.6807541826989458E-4</c:v>
                </c:pt>
                <c:pt idx="13">
                  <c:v>-1.7900032045743697E-4</c:v>
                </c:pt>
                <c:pt idx="14">
                  <c:v>-1.9063534128722914E-4</c:v>
                </c:pt>
                <c:pt idx="15">
                  <c:v>-2.0302663847091007E-4</c:v>
                </c:pt>
                <c:pt idx="16">
                  <c:v>-2.1622336997151326E-4</c:v>
                </c:pt>
                <c:pt idx="17">
                  <c:v>-2.3027788901969215E-4</c:v>
                </c:pt>
                <c:pt idx="18">
                  <c:v>-2.4524595180597242E-4</c:v>
                </c:pt>
                <c:pt idx="19">
                  <c:v>-2.611869386733856E-4</c:v>
                </c:pt>
                <c:pt idx="20">
                  <c:v>-2.7816408968719952E-4</c:v>
                </c:pt>
                <c:pt idx="21">
                  <c:v>-2.962447555169001E-4</c:v>
                </c:pt>
                <c:pt idx="22">
                  <c:v>-3.1550066462546211E-4</c:v>
                </c:pt>
                <c:pt idx="23">
                  <c:v>-3.3600820782617169E-4</c:v>
                </c:pt>
                <c:pt idx="24">
                  <c:v>-3.5784874133484856E-4</c:v>
                </c:pt>
                <c:pt idx="25">
                  <c:v>-3.8110890952164356E-4</c:v>
                </c:pt>
              </c:numCache>
            </c:numRef>
          </c:val>
        </c:ser>
        <c:ser>
          <c:idx val="6"/>
          <c:order val="6"/>
          <c:tx>
            <c:strRef>
              <c:f>'Customer Calc'!$AJ$23</c:f>
              <c:strCache>
                <c:ptCount val="1"/>
                <c:pt idx="0">
                  <c:v>Incentive Recovery</c:v>
                </c:pt>
              </c:strCache>
            </c:strRef>
          </c:tx>
          <c:invertIfNegative val="0"/>
          <c:cat>
            <c:numRef>
              <c:f>'Customer Calc'!$AM$6:$BL$6</c:f>
              <c:numCache>
                <c:formatCode>General</c:formatCode>
                <c:ptCount val="26"/>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numCache>
            </c:numRef>
          </c:cat>
          <c:val>
            <c:numRef>
              <c:f>'Customer Calc'!$AM$23:$BL$23</c:f>
              <c:numCache>
                <c:formatCode>_("$"* #,##0.00000_);_("$"* \(#,##0.00000\);_("$"* "-"??_);_(@_)</c:formatCode>
                <c:ptCount val="26"/>
                <c:pt idx="0">
                  <c:v>0</c:v>
                </c:pt>
                <c:pt idx="1">
                  <c:v>2.1106132550166771E-4</c:v>
                </c:pt>
                <c:pt idx="2">
                  <c:v>2.1674440577324923E-4</c:v>
                </c:pt>
                <c:pt idx="3">
                  <c:v>2.2273137223996982E-4</c:v>
                </c:pt>
                <c:pt idx="4">
                  <c:v>2.2904249328519605E-4</c:v>
                </c:pt>
                <c:pt idx="5">
                  <c:v>2.3569982234632184E-4</c:v>
                </c:pt>
                <c:pt idx="6">
                  <c:v>2.427274031914843E-4</c:v>
                </c:pt>
                <c:pt idx="7">
                  <c:v>2.5015150447999212E-4</c:v>
                </c:pt>
                <c:pt idx="8">
                  <c:v>2.5800088859639887E-4</c:v>
                </c:pt>
                <c:pt idx="9">
                  <c:v>2.6630712074285481E-4</c:v>
                </c:pt>
                <c:pt idx="10">
                  <c:v>2.7510492549778152E-4</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150"/>
        <c:overlap val="100"/>
        <c:axId val="254306176"/>
        <c:axId val="254306736"/>
      </c:barChart>
      <c:catAx>
        <c:axId val="254306176"/>
        <c:scaling>
          <c:orientation val="minMax"/>
        </c:scaling>
        <c:delete val="0"/>
        <c:axPos val="b"/>
        <c:numFmt formatCode="General" sourceLinked="1"/>
        <c:majorTickMark val="out"/>
        <c:minorTickMark val="none"/>
        <c:tickLblPos val="nextTo"/>
        <c:txPr>
          <a:bodyPr rot="-2700000"/>
          <a:lstStyle/>
          <a:p>
            <a:pPr>
              <a:defRPr/>
            </a:pPr>
            <a:endParaRPr lang="en-US"/>
          </a:p>
        </c:txPr>
        <c:crossAx val="254306736"/>
        <c:crosses val="autoZero"/>
        <c:auto val="1"/>
        <c:lblAlgn val="ctr"/>
        <c:lblOffset val="100"/>
        <c:tickLblSkip val="2"/>
        <c:noMultiLvlLbl val="0"/>
      </c:catAx>
      <c:valAx>
        <c:axId val="254306736"/>
        <c:scaling>
          <c:orientation val="minMax"/>
        </c:scaling>
        <c:delete val="0"/>
        <c:axPos val="l"/>
        <c:numFmt formatCode="_(&quot;$&quot;* #,##0.00_);_(&quot;$&quot;* \(#,##0.00\);_(&quot;$&quot;* &quot;-&quot;??_);_(@_)" sourceLinked="1"/>
        <c:majorTickMark val="out"/>
        <c:minorTickMark val="none"/>
        <c:tickLblPos val="nextTo"/>
        <c:txPr>
          <a:bodyPr rot="0" vert="horz"/>
          <a:lstStyle/>
          <a:p>
            <a:pPr>
              <a:defRPr/>
            </a:pPr>
            <a:endParaRPr lang="en-US"/>
          </a:p>
        </c:txPr>
        <c:crossAx val="254306176"/>
        <c:crosses val="autoZero"/>
        <c:crossBetween val="between"/>
      </c:valAx>
    </c:plotArea>
    <c:legend>
      <c:legendPos val="r"/>
      <c:layout>
        <c:manualLayout>
          <c:xMode val="edge"/>
          <c:yMode val="edge"/>
          <c:x val="0.69168418575891999"/>
          <c:y val="0.179165409201899"/>
          <c:w val="0.29992766192620601"/>
          <c:h val="0.72823872625677899"/>
        </c:manualLayout>
      </c:layout>
      <c:overlay val="0"/>
      <c:txPr>
        <a:bodyPr/>
        <a:lstStyle/>
        <a:p>
          <a:pPr>
            <a:defRPr kern="500"/>
          </a:pPr>
          <a:endParaRPr lang="en-US"/>
        </a:p>
      </c:txPr>
    </c:legend>
    <c:plotVisOnly val="1"/>
    <c:dispBlanksAs val="gap"/>
    <c:showDLblsOverMax val="0"/>
  </c:chart>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1</xdr:col>
      <xdr:colOff>136525</xdr:colOff>
      <xdr:row>3</xdr:row>
      <xdr:rowOff>25401</xdr:rowOff>
    </xdr:from>
    <xdr:to>
      <xdr:col>6</xdr:col>
      <xdr:colOff>177800</xdr:colOff>
      <xdr:row>17</xdr:row>
      <xdr:rowOff>101601</xdr:rowOff>
    </xdr:to>
    <xdr:graphicFrame macro="">
      <xdr:nvGraphicFramePr>
        <xdr:cNvPr id="16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130174</xdr:colOff>
      <xdr:row>34</xdr:row>
      <xdr:rowOff>0</xdr:rowOff>
    </xdr:from>
    <xdr:to>
      <xdr:col>6</xdr:col>
      <xdr:colOff>177800</xdr:colOff>
      <xdr:row>47</xdr:row>
      <xdr:rowOff>88900</xdr:rowOff>
    </xdr:to>
    <xdr:graphicFrame macro="">
      <xdr:nvGraphicFramePr>
        <xdr:cNvPr id="16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130175</xdr:colOff>
      <xdr:row>49</xdr:row>
      <xdr:rowOff>9525</xdr:rowOff>
    </xdr:from>
    <xdr:to>
      <xdr:col>6</xdr:col>
      <xdr:colOff>177800</xdr:colOff>
      <xdr:row>63</xdr:row>
      <xdr:rowOff>88900</xdr:rowOff>
    </xdr:to>
    <xdr:graphicFrame macro="">
      <xdr:nvGraphicFramePr>
        <xdr:cNvPr id="163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152401</xdr:colOff>
      <xdr:row>86</xdr:row>
      <xdr:rowOff>6350</xdr:rowOff>
    </xdr:from>
    <xdr:to>
      <xdr:col>6</xdr:col>
      <xdr:colOff>203201</xdr:colOff>
      <xdr:row>100</xdr:row>
      <xdr:rowOff>73025</xdr:rowOff>
    </xdr:to>
    <xdr:graphicFrame macro="">
      <xdr:nvGraphicFramePr>
        <xdr:cNvPr id="16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103</xdr:row>
      <xdr:rowOff>15875</xdr:rowOff>
    </xdr:from>
    <xdr:to>
      <xdr:col>6</xdr:col>
      <xdr:colOff>190500</xdr:colOff>
      <xdr:row>117</xdr:row>
      <xdr:rowOff>92075</xdr:rowOff>
    </xdr:to>
    <xdr:graphicFrame macro="">
      <xdr:nvGraphicFramePr>
        <xdr:cNvPr id="163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136525</xdr:colOff>
      <xdr:row>119</xdr:row>
      <xdr:rowOff>3175</xdr:rowOff>
    </xdr:from>
    <xdr:to>
      <xdr:col>6</xdr:col>
      <xdr:colOff>177800</xdr:colOff>
      <xdr:row>133</xdr:row>
      <xdr:rowOff>88900</xdr:rowOff>
    </xdr:to>
    <xdr:graphicFrame macro="">
      <xdr:nvGraphicFramePr>
        <xdr:cNvPr id="163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174625</xdr:colOff>
      <xdr:row>3</xdr:row>
      <xdr:rowOff>25400</xdr:rowOff>
    </xdr:from>
    <xdr:to>
      <xdr:col>13</xdr:col>
      <xdr:colOff>228600</xdr:colOff>
      <xdr:row>17</xdr:row>
      <xdr:rowOff>111125</xdr:rowOff>
    </xdr:to>
    <xdr:graphicFrame macro="">
      <xdr:nvGraphicFramePr>
        <xdr:cNvPr id="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168275</xdr:colOff>
      <xdr:row>34</xdr:row>
      <xdr:rowOff>0</xdr:rowOff>
    </xdr:from>
    <xdr:to>
      <xdr:col>13</xdr:col>
      <xdr:colOff>215900</xdr:colOff>
      <xdr:row>47</xdr:row>
      <xdr:rowOff>79375</xdr:rowOff>
    </xdr:to>
    <xdr:graphicFrame macro="">
      <xdr:nvGraphicFramePr>
        <xdr:cNvPr id="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168275</xdr:colOff>
      <xdr:row>48</xdr:row>
      <xdr:rowOff>187325</xdr:rowOff>
    </xdr:from>
    <xdr:to>
      <xdr:col>13</xdr:col>
      <xdr:colOff>215900</xdr:colOff>
      <xdr:row>63</xdr:row>
      <xdr:rowOff>63500</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xdr:colOff>
      <xdr:row>86</xdr:row>
      <xdr:rowOff>6350</xdr:rowOff>
    </xdr:from>
    <xdr:to>
      <xdr:col>13</xdr:col>
      <xdr:colOff>228601</xdr:colOff>
      <xdr:row>100</xdr:row>
      <xdr:rowOff>73025</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168275</xdr:colOff>
      <xdr:row>103</xdr:row>
      <xdr:rowOff>15875</xdr:rowOff>
    </xdr:from>
    <xdr:to>
      <xdr:col>13</xdr:col>
      <xdr:colOff>215900</xdr:colOff>
      <xdr:row>117</xdr:row>
      <xdr:rowOff>92075</xdr:rowOff>
    </xdr:to>
    <xdr:graphicFrame macro="">
      <xdr:nvGraphicFramePr>
        <xdr:cNvPr id="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174625</xdr:colOff>
      <xdr:row>119</xdr:row>
      <xdr:rowOff>3175</xdr:rowOff>
    </xdr:from>
    <xdr:to>
      <xdr:col>13</xdr:col>
      <xdr:colOff>215900</xdr:colOff>
      <xdr:row>133</xdr:row>
      <xdr:rowOff>76200</xdr:rowOff>
    </xdr:to>
    <xdr:graphicFrame macro="">
      <xdr:nvGraphicFramePr>
        <xdr:cNvPr id="1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127000</xdr:colOff>
      <xdr:row>67</xdr:row>
      <xdr:rowOff>12700</xdr:rowOff>
    </xdr:from>
    <xdr:to>
      <xdr:col>6</xdr:col>
      <xdr:colOff>177800</xdr:colOff>
      <xdr:row>81</xdr:row>
      <xdr:rowOff>88900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165100</xdr:colOff>
      <xdr:row>67</xdr:row>
      <xdr:rowOff>0</xdr:rowOff>
    </xdr:from>
    <xdr:to>
      <xdr:col>13</xdr:col>
      <xdr:colOff>215900</xdr:colOff>
      <xdr:row>81</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12700</xdr:colOff>
      <xdr:row>3</xdr:row>
      <xdr:rowOff>0</xdr:rowOff>
    </xdr:from>
    <xdr:to>
      <xdr:col>21</xdr:col>
      <xdr:colOff>152400</xdr:colOff>
      <xdr:row>17</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50800</xdr:colOff>
      <xdr:row>34</xdr:row>
      <xdr:rowOff>0</xdr:rowOff>
    </xdr:from>
    <xdr:to>
      <xdr:col>21</xdr:col>
      <xdr:colOff>190500</xdr:colOff>
      <xdr:row>47</xdr:row>
      <xdr:rowOff>63500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25400</xdr:colOff>
      <xdr:row>49</xdr:row>
      <xdr:rowOff>38100</xdr:rowOff>
    </xdr:from>
    <xdr:to>
      <xdr:col>21</xdr:col>
      <xdr:colOff>165100</xdr:colOff>
      <xdr:row>63</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38100</xdr:colOff>
      <xdr:row>66</xdr:row>
      <xdr:rowOff>177800</xdr:rowOff>
    </xdr:from>
    <xdr:to>
      <xdr:col>21</xdr:col>
      <xdr:colOff>177800</xdr:colOff>
      <xdr:row>81</xdr:row>
      <xdr:rowOff>63500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0</xdr:colOff>
      <xdr:row>86</xdr:row>
      <xdr:rowOff>0</xdr:rowOff>
    </xdr:from>
    <xdr:to>
      <xdr:col>21</xdr:col>
      <xdr:colOff>139700</xdr:colOff>
      <xdr:row>100</xdr:row>
      <xdr:rowOff>76200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152400</xdr:colOff>
      <xdr:row>103</xdr:row>
      <xdr:rowOff>12700</xdr:rowOff>
    </xdr:from>
    <xdr:to>
      <xdr:col>21</xdr:col>
      <xdr:colOff>114300</xdr:colOff>
      <xdr:row>117</xdr:row>
      <xdr:rowOff>88900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12700</xdr:colOff>
      <xdr:row>119</xdr:row>
      <xdr:rowOff>38100</xdr:rowOff>
    </xdr:from>
    <xdr:to>
      <xdr:col>21</xdr:col>
      <xdr:colOff>152400</xdr:colOff>
      <xdr:row>133</xdr:row>
      <xdr:rowOff>114300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146050</xdr:colOff>
      <xdr:row>18</xdr:row>
      <xdr:rowOff>139700</xdr:rowOff>
    </xdr:from>
    <xdr:to>
      <xdr:col>6</xdr:col>
      <xdr:colOff>184150</xdr:colOff>
      <xdr:row>33</xdr:row>
      <xdr:rowOff>25400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139700</xdr:colOff>
      <xdr:row>18</xdr:row>
      <xdr:rowOff>152400</xdr:rowOff>
    </xdr:from>
    <xdr:to>
      <xdr:col>13</xdr:col>
      <xdr:colOff>190500</xdr:colOff>
      <xdr:row>33</xdr:row>
      <xdr:rowOff>38100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38100</xdr:colOff>
      <xdr:row>18</xdr:row>
      <xdr:rowOff>114300</xdr:rowOff>
    </xdr:from>
    <xdr:to>
      <xdr:col>21</xdr:col>
      <xdr:colOff>177800</xdr:colOff>
      <xdr:row>33</xdr:row>
      <xdr:rowOff>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3</xdr:row>
      <xdr:rowOff>38100</xdr:rowOff>
    </xdr:from>
    <xdr:to>
      <xdr:col>6</xdr:col>
      <xdr:colOff>647700</xdr:colOff>
      <xdr:row>17</xdr:row>
      <xdr:rowOff>123825</xdr:rowOff>
    </xdr:to>
    <xdr:graphicFrame macro="">
      <xdr:nvGraphicFramePr>
        <xdr:cNvPr id="56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18</xdr:row>
      <xdr:rowOff>142875</xdr:rowOff>
    </xdr:from>
    <xdr:to>
      <xdr:col>6</xdr:col>
      <xdr:colOff>619125</xdr:colOff>
      <xdr:row>33</xdr:row>
      <xdr:rowOff>28575</xdr:rowOff>
    </xdr:to>
    <xdr:graphicFrame macro="">
      <xdr:nvGraphicFramePr>
        <xdr:cNvPr id="56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142875</xdr:colOff>
      <xdr:row>49</xdr:row>
      <xdr:rowOff>38100</xdr:rowOff>
    </xdr:from>
    <xdr:to>
      <xdr:col>6</xdr:col>
      <xdr:colOff>581025</xdr:colOff>
      <xdr:row>63</xdr:row>
      <xdr:rowOff>133350</xdr:rowOff>
    </xdr:to>
    <xdr:graphicFrame macro="">
      <xdr:nvGraphicFramePr>
        <xdr:cNvPr id="560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114300</xdr:colOff>
      <xdr:row>67</xdr:row>
      <xdr:rowOff>133350</xdr:rowOff>
    </xdr:from>
    <xdr:to>
      <xdr:col>6</xdr:col>
      <xdr:colOff>552450</xdr:colOff>
      <xdr:row>82</xdr:row>
      <xdr:rowOff>9525</xdr:rowOff>
    </xdr:to>
    <xdr:graphicFrame macro="">
      <xdr:nvGraphicFramePr>
        <xdr:cNvPr id="560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85725</xdr:colOff>
      <xdr:row>83</xdr:row>
      <xdr:rowOff>0</xdr:rowOff>
    </xdr:from>
    <xdr:to>
      <xdr:col>6</xdr:col>
      <xdr:colOff>533400</xdr:colOff>
      <xdr:row>98</xdr:row>
      <xdr:rowOff>104775</xdr:rowOff>
    </xdr:to>
    <xdr:graphicFrame macro="">
      <xdr:nvGraphicFramePr>
        <xdr:cNvPr id="56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139700</xdr:colOff>
      <xdr:row>33</xdr:row>
      <xdr:rowOff>177800</xdr:rowOff>
    </xdr:from>
    <xdr:to>
      <xdr:col>6</xdr:col>
      <xdr:colOff>635000</xdr:colOff>
      <xdr:row>48</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2</xdr:row>
      <xdr:rowOff>158750</xdr:rowOff>
    </xdr:from>
    <xdr:to>
      <xdr:col>6</xdr:col>
      <xdr:colOff>698500</xdr:colOff>
      <xdr:row>17</xdr:row>
      <xdr:rowOff>44450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139700</xdr:colOff>
      <xdr:row>18</xdr:row>
      <xdr:rowOff>6350</xdr:rowOff>
    </xdr:from>
    <xdr:to>
      <xdr:col>6</xdr:col>
      <xdr:colOff>685800</xdr:colOff>
      <xdr:row>32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165100</xdr:colOff>
      <xdr:row>3</xdr:row>
      <xdr:rowOff>0</xdr:rowOff>
    </xdr:from>
    <xdr:to>
      <xdr:col>13</xdr:col>
      <xdr:colOff>711200</xdr:colOff>
      <xdr:row>17</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152400</xdr:colOff>
      <xdr:row>18</xdr:row>
      <xdr:rowOff>38100</xdr:rowOff>
    </xdr:from>
    <xdr:to>
      <xdr:col>13</xdr:col>
      <xdr:colOff>698500</xdr:colOff>
      <xdr:row>32</xdr:row>
      <xdr:rowOff>31750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111125</xdr:colOff>
      <xdr:row>33</xdr:row>
      <xdr:rowOff>0</xdr:rowOff>
    </xdr:from>
    <xdr:to>
      <xdr:col>6</xdr:col>
      <xdr:colOff>657225</xdr:colOff>
      <xdr:row>46</xdr:row>
      <xdr:rowOff>184150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174625</xdr:colOff>
      <xdr:row>33</xdr:row>
      <xdr:rowOff>31750</xdr:rowOff>
    </xdr:from>
    <xdr:to>
      <xdr:col>13</xdr:col>
      <xdr:colOff>720725</xdr:colOff>
      <xdr:row>47</xdr:row>
      <xdr:rowOff>25400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hyman3\Downloads\Executive%20Summary%20em%20edits%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hyman3\Downloads\RE_BIM-GA-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PA%20(2006)%20EE%20benefits%20calculator_2_AM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iG%20CBA%20Model%2007012013_AMS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ay%20State%20BC%20Sector%20PY%202010-2012%20with%20paris%20export.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A%203%20Year%20ELECTRIC%20Screening%20Model%202010-2012%20NSTAR%2010_23_09%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aved Energy"/>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g-Term BI"/>
      <sheetName val="Rate Adjustment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
      <sheetName val="Key Equations"/>
      <sheetName val="Step1"/>
      <sheetName val="Step2"/>
      <sheetName val="Interpretation"/>
      <sheetName val="Sensitivity_Inputs"/>
      <sheetName val="table"/>
      <sheetName val="Electric No EE"/>
      <sheetName val="Electric EE"/>
      <sheetName val="Electric EE No Decoupling"/>
      <sheetName val="Gas No EE"/>
      <sheetName val="Gas EE"/>
      <sheetName val="Gas EE No Decoupling"/>
      <sheetName val="Energy Forecast"/>
      <sheetName val="Emissions"/>
      <sheetName val="Scenarios"/>
    </sheetNames>
    <sheetDataSet>
      <sheetData sheetId="0"/>
      <sheetData sheetId="1"/>
      <sheetData sheetId="2"/>
      <sheetData sheetId="3">
        <row r="3">
          <cell r="B3">
            <v>1</v>
          </cell>
        </row>
        <row r="4">
          <cell r="B4" t="b">
            <v>1</v>
          </cell>
        </row>
        <row r="5">
          <cell r="B5" t="b">
            <v>0</v>
          </cell>
        </row>
        <row r="26">
          <cell r="B26">
            <v>0</v>
          </cell>
        </row>
        <row r="61">
          <cell r="B61">
            <v>1.2E-2</v>
          </cell>
        </row>
        <row r="99">
          <cell r="B99">
            <v>2</v>
          </cell>
          <cell r="E99">
            <v>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MISELEC"/>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oided Costs (2)"/>
      <sheetName val="Paris Export Tab"/>
      <sheetName val="Input"/>
      <sheetName val="Avoided Costs"/>
      <sheetName val="Results Summary"/>
      <sheetName val="Program 1"/>
      <sheetName val="Program 2"/>
      <sheetName val="Program 3"/>
      <sheetName val="Program 4"/>
      <sheetName val="Program 5"/>
      <sheetName val="Program 6"/>
      <sheetName val="Program 7"/>
      <sheetName val="Program 8"/>
      <sheetName val="Program 9"/>
      <sheetName val="Program 10"/>
    </sheetNames>
    <sheetDataSet>
      <sheetData sheetId="0" refreshError="1"/>
      <sheetData sheetId="1" refreshError="1"/>
      <sheetData sheetId="2" refreshError="1">
        <row r="13">
          <cell r="D13">
            <v>2.2499999999999999E-2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Lookup"/>
      <sheetName val="Inputs Yr 1"/>
      <sheetName val="Inputs Yr 2"/>
      <sheetName val="Inputs Yr 3"/>
      <sheetName val="Avoided Costs"/>
      <sheetName val="DOER Budget Table"/>
      <sheetName val="Calculations Year 1"/>
      <sheetName val="Calculations Year 2"/>
      <sheetName val="Calculations Year 3"/>
      <sheetName val="Calculations Total"/>
      <sheetName val="DOER Benefit Table"/>
      <sheetName val="Benefit Table"/>
      <sheetName val="Cost Table"/>
      <sheetName val="Summary Table"/>
    </sheetNames>
    <sheetDataSet>
      <sheetData sheetId="0"/>
      <sheetData sheetId="1"/>
      <sheetData sheetId="2"/>
      <sheetData sheetId="3"/>
      <sheetData sheetId="4"/>
      <sheetData sheetId="5">
        <row r="13">
          <cell r="D13">
            <v>1.1317073170731717E-2</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tabSelected="1" workbookViewId="0"/>
  </sheetViews>
  <sheetFormatPr defaultColWidth="11" defaultRowHeight="15.75" x14ac:dyDescent="0.25"/>
  <cols>
    <col min="1" max="2" width="2.5" customWidth="1"/>
    <col min="3" max="3" width="90.125" customWidth="1"/>
    <col min="4" max="5" width="2.5" customWidth="1"/>
    <col min="6" max="6" width="5.375" customWidth="1"/>
    <col min="7" max="7" width="9.5" customWidth="1"/>
    <col min="8" max="8" width="7.375" customWidth="1"/>
    <col min="9" max="11" width="8.125" customWidth="1"/>
    <col min="12" max="16" width="7.125" customWidth="1"/>
  </cols>
  <sheetData>
    <row r="1" spans="2:17" x14ac:dyDescent="0.25">
      <c r="F1" s="707"/>
      <c r="G1" s="707"/>
      <c r="H1" s="707"/>
      <c r="I1" s="707"/>
      <c r="J1" s="707"/>
      <c r="K1" s="707"/>
      <c r="L1" s="707"/>
      <c r="M1" s="707"/>
      <c r="N1" s="707"/>
      <c r="O1" s="707"/>
      <c r="P1" s="707"/>
      <c r="Q1" s="707"/>
    </row>
    <row r="2" spans="2:17" x14ac:dyDescent="0.25">
      <c r="B2" s="31"/>
      <c r="C2" s="32"/>
      <c r="D2" s="77"/>
      <c r="F2" s="707"/>
      <c r="G2" s="707"/>
      <c r="H2" s="707"/>
      <c r="I2" s="707"/>
      <c r="J2" s="707"/>
      <c r="K2" s="707"/>
      <c r="L2" s="707"/>
      <c r="M2" s="707"/>
      <c r="N2" s="707"/>
      <c r="O2" s="707"/>
      <c r="P2" s="707"/>
      <c r="Q2" s="707"/>
    </row>
    <row r="3" spans="2:17" ht="31.5" x14ac:dyDescent="0.5">
      <c r="B3" s="10"/>
      <c r="C3" s="484" t="s">
        <v>463</v>
      </c>
      <c r="D3" s="20"/>
      <c r="F3" s="707"/>
      <c r="G3" s="707"/>
      <c r="H3" s="707"/>
      <c r="I3" s="707"/>
      <c r="J3" s="707"/>
      <c r="K3" s="707"/>
      <c r="L3" s="707"/>
      <c r="M3" s="707"/>
      <c r="N3" s="707"/>
      <c r="O3" s="707"/>
      <c r="P3" s="707"/>
      <c r="Q3" s="707"/>
    </row>
    <row r="4" spans="2:17" x14ac:dyDescent="0.25">
      <c r="B4" s="10"/>
      <c r="C4" s="11"/>
      <c r="D4" s="20"/>
      <c r="F4" s="707"/>
      <c r="G4" s="707"/>
      <c r="H4" s="707"/>
      <c r="I4" s="707"/>
      <c r="J4" s="707"/>
      <c r="K4" s="707"/>
      <c r="L4" s="707"/>
      <c r="M4" s="707"/>
      <c r="N4" s="707"/>
      <c r="O4" s="707"/>
      <c r="P4" s="707"/>
      <c r="Q4" s="707"/>
    </row>
    <row r="5" spans="2:17" ht="43.5" x14ac:dyDescent="0.25">
      <c r="B5" s="10"/>
      <c r="C5" s="485" t="s">
        <v>467</v>
      </c>
      <c r="D5" s="20"/>
      <c r="F5" s="707"/>
      <c r="G5" s="707"/>
      <c r="H5" s="707"/>
      <c r="I5" s="707"/>
      <c r="J5" s="707"/>
      <c r="K5" s="707"/>
      <c r="L5" s="707"/>
      <c r="M5" s="707"/>
      <c r="N5" s="707"/>
      <c r="O5" s="707"/>
      <c r="P5" s="707"/>
      <c r="Q5" s="707"/>
    </row>
    <row r="6" spans="2:17" x14ac:dyDescent="0.25">
      <c r="B6" s="10"/>
      <c r="C6" s="486"/>
      <c r="D6" s="20"/>
      <c r="F6" s="707"/>
      <c r="G6" s="707"/>
      <c r="H6" s="707"/>
      <c r="I6" s="707"/>
      <c r="J6" s="707"/>
      <c r="K6" s="707"/>
      <c r="L6" s="707"/>
      <c r="M6" s="707"/>
      <c r="N6" s="707"/>
      <c r="O6" s="707"/>
      <c r="P6" s="707"/>
      <c r="Q6" s="707"/>
    </row>
    <row r="7" spans="2:17" ht="43.5" x14ac:dyDescent="0.25">
      <c r="B7" s="10"/>
      <c r="C7" s="485" t="s">
        <v>466</v>
      </c>
      <c r="D7" s="20"/>
      <c r="F7" s="707"/>
      <c r="G7" s="707"/>
      <c r="H7" s="707"/>
      <c r="I7" s="707"/>
      <c r="J7" s="707"/>
      <c r="K7" s="707"/>
      <c r="L7" s="707"/>
      <c r="M7" s="707"/>
      <c r="N7" s="707"/>
      <c r="O7" s="707"/>
      <c r="P7" s="707"/>
      <c r="Q7" s="707"/>
    </row>
    <row r="8" spans="2:17" x14ac:dyDescent="0.25">
      <c r="B8" s="10"/>
      <c r="C8" s="486"/>
      <c r="D8" s="20"/>
      <c r="F8" s="707"/>
      <c r="G8" s="707"/>
      <c r="H8" s="707"/>
      <c r="I8" s="707"/>
      <c r="J8" s="707"/>
      <c r="K8" s="707"/>
      <c r="L8" s="707"/>
      <c r="M8" s="707"/>
      <c r="N8" s="707"/>
      <c r="O8" s="707"/>
      <c r="P8" s="707"/>
      <c r="Q8" s="707"/>
    </row>
    <row r="9" spans="2:17" ht="43.5" x14ac:dyDescent="0.25">
      <c r="B9" s="10"/>
      <c r="C9" s="485" t="s">
        <v>464</v>
      </c>
      <c r="D9" s="20"/>
      <c r="F9" s="707"/>
      <c r="G9" s="707"/>
      <c r="H9" s="707"/>
      <c r="I9" s="707"/>
      <c r="J9" s="707"/>
      <c r="K9" s="707"/>
      <c r="L9" s="707"/>
      <c r="M9" s="707"/>
      <c r="N9" s="707"/>
      <c r="O9" s="707"/>
      <c r="P9" s="707"/>
      <c r="Q9" s="707"/>
    </row>
    <row r="10" spans="2:17" x14ac:dyDescent="0.25">
      <c r="B10" s="10"/>
      <c r="C10" s="486"/>
      <c r="D10" s="20"/>
      <c r="F10" s="707"/>
      <c r="G10" s="707"/>
      <c r="H10" s="707"/>
      <c r="I10" s="707"/>
      <c r="J10" s="707"/>
      <c r="K10" s="707"/>
      <c r="L10" s="707"/>
      <c r="M10" s="707"/>
      <c r="N10" s="707"/>
      <c r="O10" s="707"/>
      <c r="P10" s="707"/>
      <c r="Q10" s="707"/>
    </row>
    <row r="11" spans="2:17" ht="29.25" x14ac:dyDescent="0.25">
      <c r="B11" s="10"/>
      <c r="C11" s="485" t="s">
        <v>468</v>
      </c>
      <c r="D11" s="20"/>
      <c r="F11" s="707"/>
      <c r="G11" s="707"/>
      <c r="H11" s="707"/>
      <c r="I11" s="707"/>
      <c r="J11" s="707"/>
      <c r="K11" s="707"/>
      <c r="L11" s="707"/>
      <c r="M11" s="707"/>
      <c r="N11" s="707"/>
      <c r="O11" s="707"/>
      <c r="P11" s="707"/>
      <c r="Q11" s="707"/>
    </row>
    <row r="12" spans="2:17" x14ac:dyDescent="0.25">
      <c r="B12" s="10"/>
      <c r="C12" s="485"/>
      <c r="D12" s="20"/>
      <c r="F12" s="707"/>
      <c r="G12" s="707"/>
      <c r="H12" s="707"/>
      <c r="I12" s="707"/>
      <c r="J12" s="707"/>
      <c r="K12" s="707"/>
      <c r="L12" s="707"/>
      <c r="M12" s="707"/>
      <c r="N12" s="707"/>
      <c r="O12" s="707"/>
      <c r="P12" s="707"/>
      <c r="Q12" s="707"/>
    </row>
    <row r="13" spans="2:17" ht="29.25" x14ac:dyDescent="0.25">
      <c r="B13" s="10"/>
      <c r="C13" s="485" t="s">
        <v>465</v>
      </c>
      <c r="D13" s="20"/>
      <c r="F13" s="707"/>
      <c r="G13" s="707"/>
      <c r="H13" s="707"/>
      <c r="I13" s="707"/>
      <c r="J13" s="707"/>
      <c r="K13" s="707"/>
      <c r="L13" s="707"/>
      <c r="M13" s="707"/>
      <c r="N13" s="707"/>
      <c r="O13" s="707"/>
      <c r="P13" s="707"/>
      <c r="Q13" s="707"/>
    </row>
    <row r="14" spans="2:17" x14ac:dyDescent="0.25">
      <c r="B14" s="26"/>
      <c r="C14" s="29"/>
      <c r="D14" s="30"/>
      <c r="F14" s="707"/>
      <c r="G14" s="707"/>
      <c r="H14" s="707"/>
      <c r="I14" s="707"/>
      <c r="J14" s="707"/>
      <c r="K14" s="707"/>
      <c r="L14" s="707"/>
      <c r="M14" s="707"/>
      <c r="N14" s="707"/>
      <c r="O14" s="707"/>
      <c r="P14" s="707"/>
      <c r="Q14" s="707"/>
    </row>
    <row r="15" spans="2:17" x14ac:dyDescent="0.25">
      <c r="F15" s="707"/>
      <c r="G15" s="707"/>
      <c r="H15" s="707"/>
      <c r="I15" s="707"/>
      <c r="J15" s="707"/>
      <c r="K15" s="707"/>
      <c r="L15" s="707"/>
      <c r="M15" s="707"/>
      <c r="N15" s="707"/>
      <c r="O15" s="707"/>
      <c r="P15" s="707"/>
      <c r="Q15" s="707"/>
    </row>
    <row r="16" spans="2:17" x14ac:dyDescent="0.25">
      <c r="F16" s="707"/>
      <c r="G16" s="707"/>
      <c r="H16" s="707"/>
      <c r="I16" s="707"/>
      <c r="J16" s="707"/>
      <c r="K16" s="707"/>
      <c r="L16" s="707"/>
      <c r="M16" s="707"/>
      <c r="N16" s="707"/>
      <c r="O16" s="707"/>
      <c r="P16" s="707"/>
      <c r="Q16" s="707"/>
    </row>
    <row r="17" spans="6:17" x14ac:dyDescent="0.25">
      <c r="F17" s="707"/>
      <c r="G17" s="707"/>
      <c r="H17" s="707"/>
      <c r="I17" s="707"/>
      <c r="J17" s="707"/>
      <c r="K17" s="707"/>
      <c r="L17" s="707"/>
      <c r="M17" s="707"/>
      <c r="N17" s="707"/>
      <c r="O17" s="707"/>
      <c r="P17" s="707"/>
      <c r="Q17" s="707"/>
    </row>
    <row r="18" spans="6:17" x14ac:dyDescent="0.25">
      <c r="F18" s="707"/>
      <c r="G18" s="707"/>
      <c r="H18" s="707"/>
      <c r="I18" s="707"/>
      <c r="J18" s="707"/>
      <c r="K18" s="707"/>
      <c r="L18" s="707"/>
      <c r="M18" s="707"/>
      <c r="N18" s="707"/>
      <c r="O18" s="707"/>
      <c r="P18" s="707"/>
      <c r="Q18" s="707"/>
    </row>
    <row r="19" spans="6:17" x14ac:dyDescent="0.25">
      <c r="F19" s="707"/>
      <c r="G19" s="707"/>
      <c r="H19" s="707"/>
      <c r="I19" s="707"/>
      <c r="J19" s="707"/>
      <c r="K19" s="707"/>
      <c r="L19" s="707"/>
      <c r="M19" s="707"/>
      <c r="N19" s="707"/>
      <c r="O19" s="707"/>
      <c r="P19" s="707"/>
      <c r="Q19" s="707"/>
    </row>
    <row r="20" spans="6:17" x14ac:dyDescent="0.25">
      <c r="F20" s="707"/>
      <c r="G20" s="707"/>
      <c r="H20" s="707"/>
      <c r="I20" s="707"/>
      <c r="J20" s="707"/>
      <c r="K20" s="707"/>
      <c r="L20" s="707"/>
      <c r="M20" s="707"/>
      <c r="N20" s="707"/>
      <c r="O20" s="707"/>
      <c r="P20" s="707"/>
      <c r="Q20" s="707"/>
    </row>
    <row r="21" spans="6:17" x14ac:dyDescent="0.25">
      <c r="F21" s="707"/>
      <c r="G21" s="707"/>
      <c r="H21" s="707"/>
      <c r="I21" s="707"/>
      <c r="J21" s="707"/>
      <c r="K21" s="707"/>
      <c r="L21" s="707"/>
      <c r="M21" s="707"/>
      <c r="N21" s="707"/>
      <c r="O21" s="707"/>
      <c r="P21" s="707"/>
      <c r="Q21" s="707"/>
    </row>
    <row r="24" spans="6:17" x14ac:dyDescent="0.25">
      <c r="G24" s="25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2:N54"/>
  <sheetViews>
    <sheetView zoomScale="70" zoomScaleNormal="70" zoomScalePageLayoutView="70" workbookViewId="0"/>
  </sheetViews>
  <sheetFormatPr defaultColWidth="8.875" defaultRowHeight="15.75" x14ac:dyDescent="0.25"/>
  <cols>
    <col min="1" max="1" width="2.5" customWidth="1"/>
    <col min="2" max="7" width="10.875" customWidth="1"/>
    <col min="8" max="8" width="2.5" customWidth="1"/>
    <col min="9" max="14" width="10.875" customWidth="1"/>
  </cols>
  <sheetData>
    <row r="2" spans="2:14" x14ac:dyDescent="0.25">
      <c r="B2" s="751" t="s">
        <v>493</v>
      </c>
      <c r="C2" s="752"/>
      <c r="D2" s="752"/>
      <c r="E2" s="752"/>
      <c r="F2" s="752"/>
      <c r="G2" s="753"/>
      <c r="H2" s="532"/>
      <c r="I2" s="751" t="s">
        <v>494</v>
      </c>
      <c r="J2" s="752"/>
      <c r="K2" s="752"/>
      <c r="L2" s="752"/>
      <c r="M2" s="752"/>
      <c r="N2" s="753"/>
    </row>
    <row r="3" spans="2:14" x14ac:dyDescent="0.25">
      <c r="B3" s="10"/>
      <c r="C3" s="11"/>
      <c r="D3" s="11"/>
      <c r="E3" s="11"/>
      <c r="F3" s="11"/>
      <c r="G3" s="20"/>
      <c r="I3" s="10"/>
      <c r="J3" s="11"/>
      <c r="K3" s="11"/>
      <c r="L3" s="11"/>
      <c r="M3" s="11"/>
      <c r="N3" s="20"/>
    </row>
    <row r="4" spans="2:14" x14ac:dyDescent="0.25">
      <c r="B4" s="10"/>
      <c r="C4" s="11"/>
      <c r="D4" s="11"/>
      <c r="E4" s="11"/>
      <c r="F4" s="11"/>
      <c r="G4" s="20"/>
      <c r="I4" s="10"/>
      <c r="J4" s="11"/>
      <c r="K4" s="11"/>
      <c r="L4" s="11"/>
      <c r="M4" s="11"/>
      <c r="N4" s="20"/>
    </row>
    <row r="5" spans="2:14" x14ac:dyDescent="0.25">
      <c r="B5" s="10"/>
      <c r="C5" s="11"/>
      <c r="D5" s="11"/>
      <c r="E5" s="11"/>
      <c r="F5" s="11"/>
      <c r="G5" s="20"/>
      <c r="I5" s="10"/>
      <c r="J5" s="11"/>
      <c r="K5" s="11"/>
      <c r="L5" s="11"/>
      <c r="M5" s="11"/>
      <c r="N5" s="20"/>
    </row>
    <row r="6" spans="2:14" x14ac:dyDescent="0.25">
      <c r="B6" s="10"/>
      <c r="C6" s="11"/>
      <c r="D6" s="11"/>
      <c r="E6" s="11"/>
      <c r="F6" s="11"/>
      <c r="G6" s="20"/>
      <c r="I6" s="10"/>
      <c r="J6" s="11"/>
      <c r="K6" s="11"/>
      <c r="L6" s="11"/>
      <c r="M6" s="11"/>
      <c r="N6" s="20"/>
    </row>
    <row r="7" spans="2:14" x14ac:dyDescent="0.25">
      <c r="B7" s="10"/>
      <c r="C7" s="11"/>
      <c r="D7" s="11"/>
      <c r="E7" s="11"/>
      <c r="F7" s="11"/>
      <c r="G7" s="20"/>
      <c r="I7" s="10"/>
      <c r="J7" s="11"/>
      <c r="K7" s="11"/>
      <c r="L7" s="11"/>
      <c r="M7" s="11"/>
      <c r="N7" s="20"/>
    </row>
    <row r="8" spans="2:14" x14ac:dyDescent="0.25">
      <c r="B8" s="10"/>
      <c r="C8" s="11"/>
      <c r="D8" s="11"/>
      <c r="E8" s="11"/>
      <c r="F8" s="11"/>
      <c r="G8" s="20"/>
      <c r="I8" s="10"/>
      <c r="J8" s="11"/>
      <c r="K8" s="11"/>
      <c r="L8" s="11"/>
      <c r="M8" s="11"/>
      <c r="N8" s="20"/>
    </row>
    <row r="9" spans="2:14" x14ac:dyDescent="0.25">
      <c r="B9" s="10"/>
      <c r="C9" s="11"/>
      <c r="D9" s="11"/>
      <c r="E9" s="11"/>
      <c r="F9" s="11"/>
      <c r="G9" s="20"/>
      <c r="I9" s="10"/>
      <c r="J9" s="11"/>
      <c r="K9" s="11"/>
      <c r="L9" s="11"/>
      <c r="M9" s="11"/>
      <c r="N9" s="20"/>
    </row>
    <row r="10" spans="2:14" x14ac:dyDescent="0.25">
      <c r="B10" s="10"/>
      <c r="C10" s="11"/>
      <c r="D10" s="11"/>
      <c r="E10" s="11"/>
      <c r="F10" s="11"/>
      <c r="G10" s="20"/>
      <c r="I10" s="10"/>
      <c r="J10" s="11"/>
      <c r="K10" s="11"/>
      <c r="L10" s="11"/>
      <c r="M10" s="11"/>
      <c r="N10" s="20"/>
    </row>
    <row r="11" spans="2:14" x14ac:dyDescent="0.25">
      <c r="B11" s="10"/>
      <c r="C11" s="11"/>
      <c r="D11" s="11"/>
      <c r="E11" s="11"/>
      <c r="F11" s="11"/>
      <c r="G11" s="20"/>
      <c r="I11" s="10"/>
      <c r="J11" s="11"/>
      <c r="K11" s="11"/>
      <c r="L11" s="11"/>
      <c r="M11" s="11"/>
      <c r="N11" s="20"/>
    </row>
    <row r="12" spans="2:14" x14ac:dyDescent="0.25">
      <c r="B12" s="10"/>
      <c r="C12" s="11"/>
      <c r="D12" s="11"/>
      <c r="E12" s="11"/>
      <c r="F12" s="11"/>
      <c r="G12" s="20"/>
      <c r="I12" s="10"/>
      <c r="J12" s="11"/>
      <c r="K12" s="11"/>
      <c r="L12" s="11"/>
      <c r="M12" s="11"/>
      <c r="N12" s="20"/>
    </row>
    <row r="13" spans="2:14" x14ac:dyDescent="0.25">
      <c r="B13" s="10"/>
      <c r="C13" s="11"/>
      <c r="D13" s="11"/>
      <c r="E13" s="11"/>
      <c r="F13" s="11"/>
      <c r="G13" s="20"/>
      <c r="I13" s="10"/>
      <c r="J13" s="11"/>
      <c r="K13" s="11"/>
      <c r="L13" s="11"/>
      <c r="M13" s="11"/>
      <c r="N13" s="20"/>
    </row>
    <row r="14" spans="2:14" x14ac:dyDescent="0.25">
      <c r="B14" s="10"/>
      <c r="C14" s="11"/>
      <c r="D14" s="11"/>
      <c r="E14" s="11"/>
      <c r="F14" s="11"/>
      <c r="G14" s="20"/>
      <c r="I14" s="10"/>
      <c r="J14" s="11"/>
      <c r="K14" s="11"/>
      <c r="L14" s="11"/>
      <c r="M14" s="11"/>
      <c r="N14" s="20"/>
    </row>
    <row r="15" spans="2:14" x14ac:dyDescent="0.25">
      <c r="B15" s="10"/>
      <c r="C15" s="11"/>
      <c r="D15" s="11"/>
      <c r="E15" s="11"/>
      <c r="F15" s="11"/>
      <c r="G15" s="20"/>
      <c r="I15" s="10"/>
      <c r="J15" s="11"/>
      <c r="K15" s="11"/>
      <c r="L15" s="11"/>
      <c r="M15" s="11"/>
      <c r="N15" s="20"/>
    </row>
    <row r="16" spans="2:14" x14ac:dyDescent="0.25">
      <c r="B16" s="10"/>
      <c r="C16" s="11"/>
      <c r="D16" s="11"/>
      <c r="E16" s="11"/>
      <c r="F16" s="11"/>
      <c r="G16" s="20"/>
      <c r="I16" s="10"/>
      <c r="J16" s="11"/>
      <c r="K16" s="11"/>
      <c r="L16" s="11"/>
      <c r="M16" s="11"/>
      <c r="N16" s="20"/>
    </row>
    <row r="17" spans="2:14" x14ac:dyDescent="0.25">
      <c r="B17" s="10"/>
      <c r="C17" s="11"/>
      <c r="D17" s="11"/>
      <c r="E17" s="11"/>
      <c r="F17" s="11"/>
      <c r="G17" s="20"/>
      <c r="I17" s="10"/>
      <c r="J17" s="11"/>
      <c r="K17" s="11"/>
      <c r="L17" s="11"/>
      <c r="M17" s="11"/>
      <c r="N17" s="20"/>
    </row>
    <row r="18" spans="2:14" x14ac:dyDescent="0.25">
      <c r="B18" s="10"/>
      <c r="C18" s="11"/>
      <c r="D18" s="11"/>
      <c r="E18" s="11"/>
      <c r="F18" s="11"/>
      <c r="G18" s="20"/>
      <c r="I18" s="10"/>
      <c r="J18" s="11"/>
      <c r="K18" s="11"/>
      <c r="L18" s="11"/>
      <c r="M18" s="11"/>
      <c r="N18" s="20"/>
    </row>
    <row r="19" spans="2:14" x14ac:dyDescent="0.25">
      <c r="B19" s="10"/>
      <c r="C19" s="11"/>
      <c r="D19" s="11"/>
      <c r="E19" s="11"/>
      <c r="F19" s="11"/>
      <c r="G19" s="20"/>
      <c r="I19" s="10"/>
      <c r="J19" s="11"/>
      <c r="K19" s="11"/>
      <c r="L19" s="11"/>
      <c r="M19" s="11"/>
      <c r="N19" s="20"/>
    </row>
    <row r="20" spans="2:14" x14ac:dyDescent="0.25">
      <c r="B20" s="10"/>
      <c r="C20" s="11"/>
      <c r="D20" s="11"/>
      <c r="E20" s="11"/>
      <c r="F20" s="11"/>
      <c r="G20" s="20"/>
      <c r="I20" s="10"/>
      <c r="J20" s="11"/>
      <c r="K20" s="11"/>
      <c r="L20" s="11"/>
      <c r="M20" s="11"/>
      <c r="N20" s="20"/>
    </row>
    <row r="21" spans="2:14" x14ac:dyDescent="0.25">
      <c r="B21" s="10"/>
      <c r="C21" s="11"/>
      <c r="D21" s="11"/>
      <c r="E21" s="11"/>
      <c r="F21" s="11"/>
      <c r="G21" s="20"/>
      <c r="I21" s="10"/>
      <c r="J21" s="11"/>
      <c r="K21" s="11"/>
      <c r="L21" s="11"/>
      <c r="M21" s="11"/>
      <c r="N21" s="20"/>
    </row>
    <row r="22" spans="2:14" x14ac:dyDescent="0.25">
      <c r="B22" s="10"/>
      <c r="C22" s="11"/>
      <c r="D22" s="11"/>
      <c r="E22" s="11"/>
      <c r="F22" s="11"/>
      <c r="G22" s="20"/>
      <c r="I22" s="10"/>
      <c r="J22" s="11"/>
      <c r="K22" s="11"/>
      <c r="L22" s="11"/>
      <c r="M22" s="11"/>
      <c r="N22" s="20"/>
    </row>
    <row r="23" spans="2:14" x14ac:dyDescent="0.25">
      <c r="B23" s="10"/>
      <c r="C23" s="11"/>
      <c r="D23" s="11"/>
      <c r="E23" s="11"/>
      <c r="F23" s="11"/>
      <c r="G23" s="20"/>
      <c r="I23" s="10"/>
      <c r="J23" s="11"/>
      <c r="K23" s="11"/>
      <c r="L23" s="11"/>
      <c r="M23" s="11"/>
      <c r="N23" s="20"/>
    </row>
    <row r="24" spans="2:14" x14ac:dyDescent="0.25">
      <c r="B24" s="10"/>
      <c r="C24" s="11"/>
      <c r="D24" s="11"/>
      <c r="E24" s="11"/>
      <c r="F24" s="11"/>
      <c r="G24" s="20"/>
      <c r="I24" s="10"/>
      <c r="J24" s="11"/>
      <c r="K24" s="11"/>
      <c r="L24" s="11"/>
      <c r="M24" s="11"/>
      <c r="N24" s="20"/>
    </row>
    <row r="25" spans="2:14" x14ac:dyDescent="0.25">
      <c r="B25" s="10"/>
      <c r="C25" s="11"/>
      <c r="D25" s="11"/>
      <c r="E25" s="11"/>
      <c r="F25" s="11"/>
      <c r="G25" s="20"/>
      <c r="I25" s="10"/>
      <c r="J25" s="11"/>
      <c r="K25" s="11"/>
      <c r="L25" s="11"/>
      <c r="M25" s="11"/>
      <c r="N25" s="20"/>
    </row>
    <row r="26" spans="2:14" x14ac:dyDescent="0.25">
      <c r="B26" s="10"/>
      <c r="C26" s="11"/>
      <c r="D26" s="11"/>
      <c r="E26" s="11"/>
      <c r="F26" s="11"/>
      <c r="G26" s="20"/>
      <c r="I26" s="10"/>
      <c r="J26" s="11"/>
      <c r="K26" s="11"/>
      <c r="L26" s="11"/>
      <c r="M26" s="11"/>
      <c r="N26" s="20"/>
    </row>
    <row r="27" spans="2:14" x14ac:dyDescent="0.25">
      <c r="B27" s="10"/>
      <c r="C27" s="11"/>
      <c r="D27" s="11"/>
      <c r="E27" s="11"/>
      <c r="F27" s="11"/>
      <c r="G27" s="20"/>
      <c r="I27" s="10"/>
      <c r="J27" s="11"/>
      <c r="K27" s="11"/>
      <c r="L27" s="11"/>
      <c r="M27" s="11"/>
      <c r="N27" s="20"/>
    </row>
    <row r="28" spans="2:14" x14ac:dyDescent="0.25">
      <c r="B28" s="10"/>
      <c r="C28" s="11"/>
      <c r="D28" s="11"/>
      <c r="E28" s="11"/>
      <c r="F28" s="11"/>
      <c r="G28" s="20"/>
      <c r="I28" s="10"/>
      <c r="J28" s="11"/>
      <c r="K28" s="11"/>
      <c r="L28" s="11"/>
      <c r="M28" s="11"/>
      <c r="N28" s="20"/>
    </row>
    <row r="29" spans="2:14" x14ac:dyDescent="0.25">
      <c r="B29" s="10"/>
      <c r="C29" s="11"/>
      <c r="D29" s="11"/>
      <c r="E29" s="11"/>
      <c r="F29" s="11"/>
      <c r="G29" s="20"/>
      <c r="I29" s="10"/>
      <c r="J29" s="11"/>
      <c r="K29" s="11"/>
      <c r="L29" s="11"/>
      <c r="M29" s="11"/>
      <c r="N29" s="20"/>
    </row>
    <row r="30" spans="2:14" x14ac:dyDescent="0.25">
      <c r="B30" s="10"/>
      <c r="C30" s="11"/>
      <c r="D30" s="11"/>
      <c r="E30" s="11"/>
      <c r="F30" s="11"/>
      <c r="G30" s="20"/>
      <c r="I30" s="10"/>
      <c r="J30" s="11"/>
      <c r="K30" s="11"/>
      <c r="L30" s="11"/>
      <c r="M30" s="11"/>
      <c r="N30" s="20"/>
    </row>
    <row r="31" spans="2:14" x14ac:dyDescent="0.25">
      <c r="B31" s="10"/>
      <c r="C31" s="11"/>
      <c r="D31" s="11"/>
      <c r="E31" s="11"/>
      <c r="F31" s="11"/>
      <c r="G31" s="20"/>
      <c r="I31" s="10"/>
      <c r="J31" s="11"/>
      <c r="K31" s="11"/>
      <c r="L31" s="11"/>
      <c r="M31" s="11"/>
      <c r="N31" s="20"/>
    </row>
    <row r="32" spans="2:14" x14ac:dyDescent="0.25">
      <c r="B32" s="10"/>
      <c r="C32" s="11"/>
      <c r="D32" s="11"/>
      <c r="E32" s="11"/>
      <c r="F32" s="11"/>
      <c r="G32" s="20"/>
      <c r="I32" s="10"/>
      <c r="J32" s="11"/>
      <c r="K32" s="11"/>
      <c r="L32" s="11"/>
      <c r="M32" s="11"/>
      <c r="N32" s="20"/>
    </row>
    <row r="33" spans="2:14" x14ac:dyDescent="0.25">
      <c r="B33" s="10"/>
      <c r="C33" s="11"/>
      <c r="D33" s="11"/>
      <c r="E33" s="11"/>
      <c r="F33" s="11"/>
      <c r="G33" s="20"/>
      <c r="I33" s="10"/>
      <c r="J33" s="11"/>
      <c r="K33" s="11"/>
      <c r="L33" s="11"/>
      <c r="M33" s="11"/>
      <c r="N33" s="20"/>
    </row>
    <row r="34" spans="2:14" x14ac:dyDescent="0.25">
      <c r="B34" s="10"/>
      <c r="C34" s="11"/>
      <c r="D34" s="11"/>
      <c r="E34" s="11"/>
      <c r="F34" s="11"/>
      <c r="G34" s="20"/>
      <c r="I34" s="10"/>
      <c r="J34" s="11"/>
      <c r="K34" s="11"/>
      <c r="L34" s="11"/>
      <c r="M34" s="11"/>
      <c r="N34" s="20"/>
    </row>
    <row r="35" spans="2:14" x14ac:dyDescent="0.25">
      <c r="B35" s="10"/>
      <c r="C35" s="11"/>
      <c r="D35" s="11"/>
      <c r="E35" s="11"/>
      <c r="F35" s="11"/>
      <c r="G35" s="20"/>
      <c r="I35" s="10"/>
      <c r="J35" s="11"/>
      <c r="K35" s="11"/>
      <c r="L35" s="11"/>
      <c r="M35" s="11"/>
      <c r="N35" s="20"/>
    </row>
    <row r="36" spans="2:14" x14ac:dyDescent="0.25">
      <c r="B36" s="10"/>
      <c r="C36" s="11"/>
      <c r="D36" s="11"/>
      <c r="E36" s="11"/>
      <c r="F36" s="11"/>
      <c r="G36" s="20"/>
      <c r="I36" s="10"/>
      <c r="J36" s="11"/>
      <c r="K36" s="11"/>
      <c r="L36" s="11"/>
      <c r="M36" s="11"/>
      <c r="N36" s="20"/>
    </row>
    <row r="37" spans="2:14" x14ac:dyDescent="0.25">
      <c r="B37" s="10"/>
      <c r="C37" s="11"/>
      <c r="D37" s="11"/>
      <c r="E37" s="11"/>
      <c r="F37" s="11"/>
      <c r="G37" s="20"/>
      <c r="I37" s="10"/>
      <c r="J37" s="11"/>
      <c r="K37" s="11"/>
      <c r="L37" s="11"/>
      <c r="M37" s="11"/>
      <c r="N37" s="20"/>
    </row>
    <row r="38" spans="2:14" x14ac:dyDescent="0.25">
      <c r="B38" s="10"/>
      <c r="C38" s="11"/>
      <c r="D38" s="11"/>
      <c r="E38" s="11"/>
      <c r="F38" s="11"/>
      <c r="G38" s="20"/>
      <c r="I38" s="10"/>
      <c r="J38" s="11"/>
      <c r="K38" s="11"/>
      <c r="L38" s="11"/>
      <c r="M38" s="11"/>
      <c r="N38" s="20"/>
    </row>
    <row r="39" spans="2:14" x14ac:dyDescent="0.25">
      <c r="B39" s="10"/>
      <c r="C39" s="11"/>
      <c r="D39" s="11"/>
      <c r="E39" s="11"/>
      <c r="F39" s="11"/>
      <c r="G39" s="20"/>
      <c r="I39" s="10"/>
      <c r="J39" s="11"/>
      <c r="K39" s="11"/>
      <c r="L39" s="11"/>
      <c r="M39" s="11"/>
      <c r="N39" s="20"/>
    </row>
    <row r="40" spans="2:14" x14ac:dyDescent="0.25">
      <c r="B40" s="10"/>
      <c r="C40" s="11"/>
      <c r="D40" s="11"/>
      <c r="E40" s="11"/>
      <c r="F40" s="11"/>
      <c r="G40" s="20"/>
      <c r="I40" s="10"/>
      <c r="J40" s="11"/>
      <c r="K40" s="11"/>
      <c r="L40" s="11"/>
      <c r="M40" s="11"/>
      <c r="N40" s="20"/>
    </row>
    <row r="41" spans="2:14" x14ac:dyDescent="0.25">
      <c r="B41" s="10"/>
      <c r="C41" s="11"/>
      <c r="D41" s="11"/>
      <c r="E41" s="11"/>
      <c r="F41" s="11"/>
      <c r="G41" s="20"/>
      <c r="I41" s="10"/>
      <c r="J41" s="11"/>
      <c r="K41" s="11"/>
      <c r="L41" s="11"/>
      <c r="M41" s="11"/>
      <c r="N41" s="20"/>
    </row>
    <row r="42" spans="2:14" x14ac:dyDescent="0.25">
      <c r="B42" s="10"/>
      <c r="C42" s="11"/>
      <c r="D42" s="11"/>
      <c r="E42" s="11"/>
      <c r="F42" s="11"/>
      <c r="G42" s="20"/>
      <c r="I42" s="10"/>
      <c r="J42" s="11"/>
      <c r="K42" s="11"/>
      <c r="L42" s="11"/>
      <c r="M42" s="11"/>
      <c r="N42" s="20"/>
    </row>
    <row r="43" spans="2:14" x14ac:dyDescent="0.25">
      <c r="B43" s="10"/>
      <c r="C43" s="11"/>
      <c r="D43" s="11"/>
      <c r="E43" s="11"/>
      <c r="F43" s="11"/>
      <c r="G43" s="20"/>
      <c r="I43" s="10"/>
      <c r="J43" s="11"/>
      <c r="K43" s="11"/>
      <c r="L43" s="11"/>
      <c r="M43" s="11"/>
      <c r="N43" s="20"/>
    </row>
    <row r="44" spans="2:14" x14ac:dyDescent="0.25">
      <c r="B44" s="10"/>
      <c r="C44" s="11"/>
      <c r="D44" s="11"/>
      <c r="E44" s="11"/>
      <c r="F44" s="11"/>
      <c r="G44" s="20"/>
      <c r="I44" s="10"/>
      <c r="J44" s="11"/>
      <c r="K44" s="11"/>
      <c r="L44" s="11"/>
      <c r="M44" s="11"/>
      <c r="N44" s="20"/>
    </row>
    <row r="45" spans="2:14" x14ac:dyDescent="0.25">
      <c r="B45" s="10"/>
      <c r="C45" s="11"/>
      <c r="D45" s="11"/>
      <c r="E45" s="11"/>
      <c r="F45" s="11"/>
      <c r="G45" s="20"/>
      <c r="I45" s="10"/>
      <c r="J45" s="11"/>
      <c r="K45" s="11"/>
      <c r="L45" s="11"/>
      <c r="M45" s="11"/>
      <c r="N45" s="20"/>
    </row>
    <row r="46" spans="2:14" x14ac:dyDescent="0.25">
      <c r="B46" s="10"/>
      <c r="C46" s="11"/>
      <c r="D46" s="11"/>
      <c r="E46" s="11"/>
      <c r="F46" s="11"/>
      <c r="G46" s="20"/>
      <c r="I46" s="10"/>
      <c r="J46" s="11"/>
      <c r="K46" s="11"/>
      <c r="L46" s="11"/>
      <c r="M46" s="11"/>
      <c r="N46" s="20"/>
    </row>
    <row r="47" spans="2:14" x14ac:dyDescent="0.25">
      <c r="B47" s="10"/>
      <c r="C47" s="11"/>
      <c r="D47" s="11"/>
      <c r="E47" s="11"/>
      <c r="F47" s="11"/>
      <c r="G47" s="20"/>
      <c r="I47" s="10"/>
      <c r="J47" s="11"/>
      <c r="K47" s="11"/>
      <c r="L47" s="11"/>
      <c r="M47" s="11"/>
      <c r="N47" s="20"/>
    </row>
    <row r="48" spans="2:14" x14ac:dyDescent="0.25">
      <c r="B48" s="26"/>
      <c r="C48" s="29"/>
      <c r="D48" s="29"/>
      <c r="E48" s="29"/>
      <c r="F48" s="29"/>
      <c r="G48" s="30"/>
      <c r="I48" s="26"/>
      <c r="J48" s="29"/>
      <c r="K48" s="29"/>
      <c r="L48" s="29"/>
      <c r="M48" s="29"/>
      <c r="N48" s="30"/>
    </row>
    <row r="51" spans="2:6" x14ac:dyDescent="0.25">
      <c r="B51" s="260"/>
      <c r="C51" s="260"/>
      <c r="D51" s="260"/>
      <c r="E51" s="260"/>
      <c r="F51" s="260"/>
    </row>
    <row r="52" spans="2:6" x14ac:dyDescent="0.25">
      <c r="B52" s="260"/>
      <c r="C52" s="260"/>
      <c r="D52" s="260"/>
      <c r="E52" s="260"/>
      <c r="F52" s="260"/>
    </row>
    <row r="53" spans="2:6" x14ac:dyDescent="0.25">
      <c r="B53" s="260"/>
      <c r="C53" s="260"/>
      <c r="D53" s="260"/>
      <c r="E53" s="260"/>
      <c r="F53" s="260"/>
    </row>
    <row r="54" spans="2:6" x14ac:dyDescent="0.25">
      <c r="B54" s="260"/>
      <c r="C54" s="260"/>
      <c r="D54" s="260"/>
      <c r="E54" s="260"/>
      <c r="F54" s="260"/>
    </row>
  </sheetData>
  <mergeCells count="2">
    <mergeCell ref="B2:G2"/>
    <mergeCell ref="I2:N2"/>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ustomer_Sector">
    <tabColor theme="5"/>
  </sheetPr>
  <dimension ref="A1:S111"/>
  <sheetViews>
    <sheetView zoomScale="80" zoomScaleNormal="80" zoomScalePageLayoutView="80" workbookViewId="0"/>
  </sheetViews>
  <sheetFormatPr defaultColWidth="11" defaultRowHeight="15.75" outlineLevelRow="2" outlineLevelCol="1" x14ac:dyDescent="0.25"/>
  <cols>
    <col min="1" max="2" width="2.5" customWidth="1"/>
    <col min="3" max="4" width="1.875" customWidth="1" outlineLevel="1"/>
    <col min="5" max="5" width="30.5" customWidth="1" outlineLevel="1"/>
    <col min="6" max="6" width="17.625" customWidth="1" outlineLevel="1"/>
    <col min="7" max="7" width="12" style="76" customWidth="1" outlineLevel="1"/>
    <col min="8" max="8" width="2.5" customWidth="1"/>
    <col min="9" max="10" width="1.875" customWidth="1" outlineLevel="1"/>
    <col min="11" max="11" width="29.375" customWidth="1" outlineLevel="1"/>
    <col min="12" max="12" width="17.625" customWidth="1" outlineLevel="1"/>
    <col min="13" max="13" width="12" customWidth="1" outlineLevel="1"/>
    <col min="14" max="14" width="2.5" customWidth="1"/>
    <col min="16" max="16" width="11" customWidth="1"/>
    <col min="17" max="17" width="11.125" bestFit="1" customWidth="1"/>
  </cols>
  <sheetData>
    <row r="1" spans="2:17" x14ac:dyDescent="0.25">
      <c r="G1" s="88"/>
    </row>
    <row r="2" spans="2:17" x14ac:dyDescent="0.25">
      <c r="B2" s="721" t="s">
        <v>70</v>
      </c>
      <c r="C2" s="722"/>
      <c r="D2" s="722"/>
      <c r="E2" s="722"/>
      <c r="F2" s="722"/>
      <c r="G2" s="722"/>
      <c r="H2" s="722"/>
      <c r="I2" s="722"/>
      <c r="J2" s="722"/>
      <c r="K2" s="722"/>
      <c r="L2" s="722"/>
      <c r="M2" s="722"/>
      <c r="N2" s="723"/>
    </row>
    <row r="3" spans="2:17" x14ac:dyDescent="0.25">
      <c r="B3" s="31"/>
      <c r="C3" s="32"/>
      <c r="D3" s="32"/>
      <c r="E3" s="32"/>
      <c r="F3" s="32"/>
      <c r="G3" s="109"/>
      <c r="H3" s="32"/>
      <c r="I3" s="32"/>
      <c r="J3" s="32"/>
      <c r="K3" s="32"/>
      <c r="L3" s="32"/>
      <c r="M3" s="32"/>
      <c r="N3" s="77"/>
    </row>
    <row r="4" spans="2:17" x14ac:dyDescent="0.25">
      <c r="B4" s="10"/>
      <c r="C4" s="712" t="s">
        <v>235</v>
      </c>
      <c r="D4" s="713"/>
      <c r="E4" s="713"/>
      <c r="F4" s="713"/>
      <c r="G4" s="714"/>
      <c r="H4" s="11"/>
      <c r="I4" s="712" t="s">
        <v>236</v>
      </c>
      <c r="J4" s="713"/>
      <c r="K4" s="713"/>
      <c r="L4" s="713"/>
      <c r="M4" s="714"/>
      <c r="N4" s="20"/>
    </row>
    <row r="5" spans="2:17" x14ac:dyDescent="0.25">
      <c r="B5" s="10"/>
      <c r="C5" s="715" t="s">
        <v>242</v>
      </c>
      <c r="D5" s="716"/>
      <c r="E5" s="716"/>
      <c r="F5" s="716"/>
      <c r="G5" s="717"/>
      <c r="H5" s="11"/>
      <c r="I5" s="715" t="s">
        <v>243</v>
      </c>
      <c r="J5" s="716"/>
      <c r="K5" s="716"/>
      <c r="L5" s="716"/>
      <c r="M5" s="717"/>
      <c r="N5" s="20"/>
    </row>
    <row r="6" spans="2:17" x14ac:dyDescent="0.25">
      <c r="B6" s="10"/>
      <c r="C6" s="708" t="s">
        <v>3</v>
      </c>
      <c r="D6" s="709"/>
      <c r="E6" s="709"/>
      <c r="F6" s="236" t="s">
        <v>5</v>
      </c>
      <c r="G6" s="140" t="s">
        <v>4</v>
      </c>
      <c r="H6" s="11"/>
      <c r="I6" s="708" t="s">
        <v>3</v>
      </c>
      <c r="J6" s="709"/>
      <c r="K6" s="709"/>
      <c r="L6" s="236" t="s">
        <v>5</v>
      </c>
      <c r="M6" s="140" t="s">
        <v>4</v>
      </c>
      <c r="N6" s="20"/>
    </row>
    <row r="7" spans="2:17" x14ac:dyDescent="0.25">
      <c r="B7" s="10"/>
      <c r="C7" s="104" t="s">
        <v>212</v>
      </c>
      <c r="D7" s="230"/>
      <c r="E7" s="230"/>
      <c r="F7" s="231">
        <v>2013</v>
      </c>
      <c r="G7" s="106" t="s">
        <v>97</v>
      </c>
      <c r="H7" s="11"/>
      <c r="I7" s="104" t="s">
        <v>212</v>
      </c>
      <c r="J7" s="230"/>
      <c r="K7" s="230"/>
      <c r="L7" s="266">
        <f>F7</f>
        <v>2013</v>
      </c>
      <c r="M7" s="106" t="s">
        <v>97</v>
      </c>
      <c r="N7" s="20"/>
    </row>
    <row r="8" spans="2:17" x14ac:dyDescent="0.25">
      <c r="B8" s="10"/>
      <c r="C8" s="229"/>
      <c r="D8" s="230"/>
      <c r="E8" s="230"/>
      <c r="F8" s="230"/>
      <c r="G8" s="147"/>
      <c r="H8" s="11"/>
      <c r="I8" s="229"/>
      <c r="J8" s="230"/>
      <c r="K8" s="230"/>
      <c r="L8" s="230"/>
      <c r="M8" s="147"/>
      <c r="N8" s="20"/>
    </row>
    <row r="9" spans="2:17" x14ac:dyDescent="0.25">
      <c r="B9" s="10"/>
      <c r="C9" s="495" t="s">
        <v>474</v>
      </c>
      <c r="D9" s="230"/>
      <c r="E9" s="230"/>
      <c r="F9" s="230"/>
      <c r="G9" s="147"/>
      <c r="H9" s="11"/>
      <c r="I9" s="495" t="s">
        <v>475</v>
      </c>
      <c r="J9" s="230"/>
      <c r="K9" s="230"/>
      <c r="L9" s="230"/>
      <c r="M9" s="147"/>
      <c r="N9" s="20"/>
    </row>
    <row r="10" spans="2:17" x14ac:dyDescent="0.25">
      <c r="B10" s="10"/>
      <c r="C10" s="23" t="s">
        <v>2</v>
      </c>
      <c r="D10" s="24"/>
      <c r="E10" s="25"/>
      <c r="F10" s="136"/>
      <c r="G10" s="147"/>
      <c r="H10" s="11"/>
      <c r="I10" s="23" t="s">
        <v>2</v>
      </c>
      <c r="J10" s="24"/>
      <c r="K10" s="25"/>
      <c r="L10" s="136"/>
      <c r="M10" s="147"/>
      <c r="N10" s="20"/>
    </row>
    <row r="11" spans="2:17" x14ac:dyDescent="0.25">
      <c r="B11" s="10"/>
      <c r="C11" s="10"/>
      <c r="D11" s="11" t="s">
        <v>22</v>
      </c>
      <c r="E11" s="11"/>
      <c r="F11" s="36">
        <v>25700000000</v>
      </c>
      <c r="G11" s="59" t="s">
        <v>6</v>
      </c>
      <c r="H11" s="11"/>
      <c r="I11" s="10"/>
      <c r="J11" s="11" t="s">
        <v>22</v>
      </c>
      <c r="K11" s="11"/>
      <c r="L11" s="36">
        <v>55389000000</v>
      </c>
      <c r="M11" s="59" t="s">
        <v>6</v>
      </c>
      <c r="N11" s="20"/>
    </row>
    <row r="12" spans="2:17" x14ac:dyDescent="0.25">
      <c r="B12" s="10"/>
      <c r="C12" s="10"/>
      <c r="D12" s="11"/>
      <c r="E12" s="11" t="s">
        <v>95</v>
      </c>
      <c r="F12" s="135">
        <v>1.4E-2</v>
      </c>
      <c r="G12" s="59" t="s">
        <v>21</v>
      </c>
      <c r="H12" s="11"/>
      <c r="I12" s="10"/>
      <c r="J12" s="11"/>
      <c r="K12" s="11" t="s">
        <v>255</v>
      </c>
      <c r="L12" s="135">
        <v>1.1599999999999999E-2</v>
      </c>
      <c r="M12" s="59" t="s">
        <v>21</v>
      </c>
      <c r="N12" s="20"/>
      <c r="P12" s="701"/>
    </row>
    <row r="13" spans="2:17" x14ac:dyDescent="0.25">
      <c r="B13" s="10"/>
      <c r="C13" s="10"/>
      <c r="D13" s="11" t="s">
        <v>244</v>
      </c>
      <c r="E13" s="11"/>
      <c r="F13" s="36">
        <f>F11/(8760*F15)</f>
        <v>4889649.923896499</v>
      </c>
      <c r="G13" s="59" t="s">
        <v>79</v>
      </c>
      <c r="H13" s="11"/>
      <c r="I13" s="10"/>
      <c r="J13" s="11" t="s">
        <v>244</v>
      </c>
      <c r="K13" s="11"/>
      <c r="L13" s="36">
        <f>L11/(8760*L15)</f>
        <v>10538242.009132421</v>
      </c>
      <c r="M13" s="59" t="s">
        <v>79</v>
      </c>
      <c r="N13" s="20"/>
      <c r="P13" s="700"/>
      <c r="Q13" s="487"/>
    </row>
    <row r="14" spans="2:17" x14ac:dyDescent="0.25">
      <c r="B14" s="10"/>
      <c r="C14" s="10"/>
      <c r="D14" s="11"/>
      <c r="E14" s="11" t="s">
        <v>245</v>
      </c>
      <c r="F14" s="135">
        <v>1.4E-2</v>
      </c>
      <c r="G14" s="59" t="s">
        <v>21</v>
      </c>
      <c r="H14" s="11"/>
      <c r="I14" s="10"/>
      <c r="J14" s="11"/>
      <c r="K14" s="11" t="s">
        <v>245</v>
      </c>
      <c r="L14" s="135">
        <v>1.1599999999999999E-2</v>
      </c>
      <c r="M14" s="59" t="s">
        <v>21</v>
      </c>
      <c r="N14" s="20"/>
      <c r="Q14" s="494"/>
    </row>
    <row r="15" spans="2:17" x14ac:dyDescent="0.25">
      <c r="B15" s="10"/>
      <c r="C15" s="10"/>
      <c r="D15" s="11" t="s">
        <v>154</v>
      </c>
      <c r="E15" s="11"/>
      <c r="F15" s="135">
        <v>0.6</v>
      </c>
      <c r="G15" s="59" t="s">
        <v>7</v>
      </c>
      <c r="H15" s="11"/>
      <c r="I15" s="10"/>
      <c r="J15" s="11" t="s">
        <v>154</v>
      </c>
      <c r="K15" s="11"/>
      <c r="L15" s="135">
        <v>0.6</v>
      </c>
      <c r="M15" s="59" t="s">
        <v>7</v>
      </c>
      <c r="N15" s="20"/>
      <c r="P15" s="487"/>
    </row>
    <row r="16" spans="2:17" x14ac:dyDescent="0.25">
      <c r="B16" s="10"/>
      <c r="C16" s="10"/>
      <c r="D16" s="11"/>
      <c r="E16" s="11"/>
      <c r="F16" s="11"/>
      <c r="G16" s="59"/>
      <c r="H16" s="11"/>
      <c r="I16" s="10"/>
      <c r="J16" s="11"/>
      <c r="K16" s="11"/>
      <c r="L16" s="11"/>
      <c r="M16" s="59"/>
      <c r="N16" s="20"/>
      <c r="P16" s="487"/>
    </row>
    <row r="17" spans="2:17" x14ac:dyDescent="0.25">
      <c r="B17" s="10"/>
      <c r="C17" s="496" t="s">
        <v>476</v>
      </c>
      <c r="D17" s="11"/>
      <c r="E17" s="11"/>
      <c r="F17" s="11"/>
      <c r="G17" s="59"/>
      <c r="H17" s="11"/>
      <c r="I17" s="496" t="s">
        <v>554</v>
      </c>
      <c r="J17" s="11"/>
      <c r="K17" s="11"/>
      <c r="L17" s="11"/>
      <c r="M17" s="59"/>
      <c r="N17" s="20"/>
      <c r="P17" s="487"/>
    </row>
    <row r="18" spans="2:17" x14ac:dyDescent="0.25">
      <c r="B18" s="10"/>
      <c r="C18" s="8" t="s">
        <v>17</v>
      </c>
      <c r="D18" s="9"/>
      <c r="E18" s="9"/>
      <c r="F18" s="136"/>
      <c r="G18" s="59"/>
      <c r="H18" s="11"/>
      <c r="I18" s="8" t="s">
        <v>17</v>
      </c>
      <c r="J18" s="9"/>
      <c r="K18" s="9"/>
      <c r="L18" s="136"/>
      <c r="M18" s="59"/>
      <c r="N18" s="20"/>
      <c r="P18" s="260"/>
      <c r="Q18" s="260"/>
    </row>
    <row r="19" spans="2:17" x14ac:dyDescent="0.25">
      <c r="B19" s="10"/>
      <c r="C19" s="8"/>
      <c r="D19" s="9" t="s">
        <v>469</v>
      </c>
      <c r="E19" s="9"/>
      <c r="F19" s="293">
        <v>8287611</v>
      </c>
      <c r="G19" s="59" t="s">
        <v>18</v>
      </c>
      <c r="H19" s="11"/>
      <c r="I19" s="8"/>
      <c r="J19" s="9" t="s">
        <v>469</v>
      </c>
      <c r="K19" s="9"/>
      <c r="L19" s="162">
        <v>13659969</v>
      </c>
      <c r="M19" s="59" t="s">
        <v>18</v>
      </c>
      <c r="N19" s="20"/>
      <c r="P19" s="260"/>
      <c r="Q19" s="260"/>
    </row>
    <row r="20" spans="2:17" x14ac:dyDescent="0.25">
      <c r="B20" s="10"/>
      <c r="C20" s="8"/>
      <c r="D20" s="9"/>
      <c r="E20" s="9" t="s">
        <v>473</v>
      </c>
      <c r="F20" s="134">
        <v>3.3000000000000002E-2</v>
      </c>
      <c r="G20" s="59" t="s">
        <v>21</v>
      </c>
      <c r="H20" s="11"/>
      <c r="I20" s="8"/>
      <c r="J20" s="9"/>
      <c r="K20" s="9" t="s">
        <v>473</v>
      </c>
      <c r="L20" s="134">
        <v>2.9000000000000001E-2</v>
      </c>
      <c r="M20" s="59" t="s">
        <v>21</v>
      </c>
      <c r="N20" s="20"/>
      <c r="P20" s="260"/>
      <c r="Q20" s="260"/>
    </row>
    <row r="21" spans="2:17" x14ac:dyDescent="0.25">
      <c r="B21" s="10"/>
      <c r="C21" s="8"/>
      <c r="D21" s="9" t="s">
        <v>481</v>
      </c>
      <c r="E21" s="9"/>
      <c r="F21" s="162">
        <v>9842861</v>
      </c>
      <c r="G21" s="59" t="s">
        <v>18</v>
      </c>
      <c r="H21" s="11"/>
      <c r="I21" s="8"/>
      <c r="J21" s="9" t="s">
        <v>481</v>
      </c>
      <c r="K21" s="9"/>
      <c r="L21" s="162">
        <v>5540558</v>
      </c>
      <c r="M21" s="59" t="s">
        <v>18</v>
      </c>
      <c r="N21" s="20"/>
      <c r="P21" s="260"/>
      <c r="Q21" s="260"/>
    </row>
    <row r="22" spans="2:17" x14ac:dyDescent="0.25">
      <c r="B22" s="10"/>
      <c r="C22" s="8"/>
      <c r="D22" s="9"/>
      <c r="E22" s="9" t="s">
        <v>482</v>
      </c>
      <c r="F22" s="134">
        <v>2.8000000000000001E-2</v>
      </c>
      <c r="G22" s="59" t="s">
        <v>470</v>
      </c>
      <c r="H22" s="11"/>
      <c r="I22" s="8"/>
      <c r="J22" s="9"/>
      <c r="K22" s="9" t="s">
        <v>482</v>
      </c>
      <c r="L22" s="134">
        <v>3.5999999999999997E-2</v>
      </c>
      <c r="M22" s="59" t="s">
        <v>21</v>
      </c>
      <c r="N22" s="20"/>
      <c r="P22" s="260"/>
      <c r="Q22" s="260"/>
    </row>
    <row r="23" spans="2:17" x14ac:dyDescent="0.25">
      <c r="B23" s="10"/>
      <c r="C23" s="8"/>
      <c r="D23" s="9" t="s">
        <v>30</v>
      </c>
      <c r="E23" s="9"/>
      <c r="F23" s="136">
        <v>10</v>
      </c>
      <c r="G23" s="59" t="s">
        <v>31</v>
      </c>
      <c r="H23" s="11"/>
      <c r="I23" s="8"/>
      <c r="J23" s="9" t="s">
        <v>30</v>
      </c>
      <c r="K23" s="9"/>
      <c r="L23" s="136">
        <v>10</v>
      </c>
      <c r="M23" s="59" t="s">
        <v>31</v>
      </c>
      <c r="N23" s="20"/>
      <c r="P23" s="260"/>
      <c r="Q23" s="260"/>
    </row>
    <row r="24" spans="2:17" x14ac:dyDescent="0.25">
      <c r="B24" s="10"/>
      <c r="C24" s="10" t="s">
        <v>252</v>
      </c>
      <c r="D24" s="11"/>
      <c r="E24" s="11"/>
      <c r="F24" s="136"/>
      <c r="G24" s="59"/>
      <c r="H24" s="11"/>
      <c r="I24" s="10" t="s">
        <v>252</v>
      </c>
      <c r="J24" s="11"/>
      <c r="K24" s="11"/>
      <c r="L24" s="136"/>
      <c r="M24" s="59"/>
      <c r="N24" s="20"/>
      <c r="P24" s="260"/>
      <c r="Q24" s="260"/>
    </row>
    <row r="25" spans="2:17" x14ac:dyDescent="0.25">
      <c r="B25" s="10"/>
      <c r="C25" s="10"/>
      <c r="D25" s="11" t="s">
        <v>66</v>
      </c>
      <c r="E25" s="11"/>
      <c r="F25" s="36">
        <v>57840000</v>
      </c>
      <c r="G25" s="59" t="s">
        <v>6</v>
      </c>
      <c r="H25" s="11"/>
      <c r="I25" s="10"/>
      <c r="J25" s="11" t="s">
        <v>246</v>
      </c>
      <c r="K25" s="11"/>
      <c r="L25" s="36">
        <v>240989000</v>
      </c>
      <c r="M25" s="59" t="s">
        <v>6</v>
      </c>
      <c r="N25" s="20"/>
      <c r="P25" s="260"/>
      <c r="Q25" s="260"/>
    </row>
    <row r="26" spans="2:17" x14ac:dyDescent="0.25">
      <c r="B26" s="10"/>
      <c r="C26" s="10"/>
      <c r="D26" s="11"/>
      <c r="E26" s="11" t="s">
        <v>20</v>
      </c>
      <c r="F26" s="134">
        <v>8.9999999999999993E-3</v>
      </c>
      <c r="G26" s="59" t="s">
        <v>21</v>
      </c>
      <c r="H26" s="11"/>
      <c r="I26" s="10"/>
      <c r="J26" s="11"/>
      <c r="K26" s="11" t="s">
        <v>20</v>
      </c>
      <c r="L26" s="134">
        <v>6.7000000000000004E-2</v>
      </c>
      <c r="M26" s="59" t="s">
        <v>21</v>
      </c>
      <c r="N26" s="20"/>
      <c r="P26" s="260"/>
      <c r="Q26" s="260"/>
    </row>
    <row r="27" spans="2:17" x14ac:dyDescent="0.25">
      <c r="B27" s="10"/>
      <c r="C27" s="10"/>
      <c r="D27" s="11" t="s">
        <v>253</v>
      </c>
      <c r="E27" s="11"/>
      <c r="F27" s="36">
        <v>10200</v>
      </c>
      <c r="G27" s="59" t="s">
        <v>79</v>
      </c>
      <c r="H27" s="11"/>
      <c r="I27" s="10"/>
      <c r="J27" s="11" t="s">
        <v>253</v>
      </c>
      <c r="K27" s="11"/>
      <c r="L27" s="36">
        <v>55348</v>
      </c>
      <c r="M27" s="59" t="s">
        <v>79</v>
      </c>
      <c r="N27" s="20"/>
      <c r="P27" s="260"/>
      <c r="Q27" s="260"/>
    </row>
    <row r="28" spans="2:17" x14ac:dyDescent="0.25">
      <c r="B28" s="10"/>
      <c r="C28" s="10"/>
      <c r="D28" s="11"/>
      <c r="E28" s="11" t="s">
        <v>254</v>
      </c>
      <c r="F28" s="134">
        <v>5.0000000000000001E-3</v>
      </c>
      <c r="G28" s="59" t="s">
        <v>21</v>
      </c>
      <c r="H28" s="11"/>
      <c r="I28" s="10"/>
      <c r="J28" s="11"/>
      <c r="K28" s="11" t="s">
        <v>254</v>
      </c>
      <c r="L28" s="134">
        <v>1.2999999999999999E-2</v>
      </c>
      <c r="M28" s="59" t="s">
        <v>21</v>
      </c>
      <c r="N28" s="20"/>
      <c r="P28" s="260"/>
      <c r="Q28" s="260"/>
    </row>
    <row r="29" spans="2:17" x14ac:dyDescent="0.25">
      <c r="B29" s="10"/>
      <c r="C29" s="10"/>
      <c r="D29" s="9" t="s">
        <v>29</v>
      </c>
      <c r="E29" s="9"/>
      <c r="F29" s="136">
        <v>10</v>
      </c>
      <c r="G29" s="59" t="s">
        <v>31</v>
      </c>
      <c r="H29" s="11"/>
      <c r="I29" s="10"/>
      <c r="J29" s="9" t="s">
        <v>29</v>
      </c>
      <c r="K29" s="9"/>
      <c r="L29" s="136">
        <v>15</v>
      </c>
      <c r="M29" s="59" t="s">
        <v>31</v>
      </c>
      <c r="N29" s="20"/>
      <c r="P29" s="260"/>
      <c r="Q29" s="260"/>
    </row>
    <row r="30" spans="2:17" x14ac:dyDescent="0.25">
      <c r="B30" s="10"/>
      <c r="C30" s="10"/>
      <c r="D30" s="9" t="s">
        <v>102</v>
      </c>
      <c r="E30" s="9"/>
      <c r="F30" s="164">
        <v>0.03</v>
      </c>
      <c r="G30" s="59" t="s">
        <v>21</v>
      </c>
      <c r="H30" s="11"/>
      <c r="I30" s="10"/>
      <c r="J30" s="9" t="s">
        <v>102</v>
      </c>
      <c r="K30" s="9"/>
      <c r="L30" s="164">
        <v>0.03</v>
      </c>
      <c r="M30" s="59" t="s">
        <v>21</v>
      </c>
      <c r="N30" s="20"/>
      <c r="P30" s="260"/>
      <c r="Q30" s="260"/>
    </row>
    <row r="31" spans="2:17" x14ac:dyDescent="0.25">
      <c r="B31" s="10"/>
      <c r="C31" s="26"/>
      <c r="D31" s="138"/>
      <c r="E31" s="138"/>
      <c r="F31" s="27"/>
      <c r="G31" s="78"/>
      <c r="H31" s="11"/>
      <c r="I31" s="26"/>
      <c r="J31" s="138"/>
      <c r="K31" s="138"/>
      <c r="L31" s="27"/>
      <c r="M31" s="78"/>
      <c r="N31" s="20"/>
    </row>
    <row r="32" spans="2:17" x14ac:dyDescent="0.25">
      <c r="B32" s="10"/>
      <c r="C32" s="257"/>
      <c r="D32" s="257"/>
      <c r="E32" s="257"/>
      <c r="F32" s="257"/>
      <c r="G32" s="257"/>
      <c r="H32" s="726"/>
      <c r="I32" s="257"/>
      <c r="J32" s="257"/>
      <c r="K32" s="257"/>
      <c r="L32" s="257"/>
      <c r="M32" s="257"/>
      <c r="N32" s="20"/>
    </row>
    <row r="33" spans="2:19" x14ac:dyDescent="0.25">
      <c r="B33" s="10"/>
      <c r="C33" s="257"/>
      <c r="D33" s="257"/>
      <c r="E33" s="257"/>
      <c r="F33" s="257"/>
      <c r="G33" s="257"/>
      <c r="H33" s="726"/>
      <c r="I33" s="257"/>
      <c r="J33" s="257"/>
      <c r="K33" s="257"/>
      <c r="L33" s="257"/>
      <c r="M33" s="257"/>
      <c r="N33" s="20"/>
    </row>
    <row r="34" spans="2:19" x14ac:dyDescent="0.25">
      <c r="B34" s="10"/>
      <c r="C34" s="712" t="s">
        <v>238</v>
      </c>
      <c r="D34" s="713"/>
      <c r="E34" s="713"/>
      <c r="F34" s="713"/>
      <c r="G34" s="714"/>
      <c r="H34" s="19"/>
      <c r="I34" s="712" t="s">
        <v>237</v>
      </c>
      <c r="J34" s="713"/>
      <c r="K34" s="713"/>
      <c r="L34" s="713"/>
      <c r="M34" s="714"/>
      <c r="N34" s="20"/>
      <c r="P34" s="252"/>
      <c r="Q34" s="252"/>
    </row>
    <row r="35" spans="2:19" x14ac:dyDescent="0.25">
      <c r="B35" s="10"/>
      <c r="C35" s="715" t="s">
        <v>64</v>
      </c>
      <c r="D35" s="716"/>
      <c r="E35" s="716"/>
      <c r="F35" s="716"/>
      <c r="G35" s="717"/>
      <c r="H35" s="19"/>
      <c r="I35" s="715" t="s">
        <v>64</v>
      </c>
      <c r="J35" s="716"/>
      <c r="K35" s="716"/>
      <c r="L35" s="716"/>
      <c r="M35" s="717"/>
      <c r="N35" s="20"/>
    </row>
    <row r="36" spans="2:19" x14ac:dyDescent="0.25">
      <c r="B36" s="10"/>
      <c r="C36" s="708" t="s">
        <v>3</v>
      </c>
      <c r="D36" s="709"/>
      <c r="E36" s="709"/>
      <c r="F36" s="236" t="s">
        <v>5</v>
      </c>
      <c r="G36" s="140" t="s">
        <v>4</v>
      </c>
      <c r="H36" s="18"/>
      <c r="I36" s="708" t="s">
        <v>3</v>
      </c>
      <c r="J36" s="709"/>
      <c r="K36" s="709"/>
      <c r="L36" s="236" t="s">
        <v>5</v>
      </c>
      <c r="M36" s="140" t="s">
        <v>4</v>
      </c>
      <c r="N36" s="263"/>
      <c r="O36" s="14"/>
      <c r="P36" s="14"/>
      <c r="Q36" s="14"/>
      <c r="R36" s="14"/>
      <c r="S36" s="14"/>
    </row>
    <row r="37" spans="2:19" x14ac:dyDescent="0.25">
      <c r="B37" s="10"/>
      <c r="C37" s="18" t="s">
        <v>232</v>
      </c>
      <c r="D37" s="19"/>
      <c r="E37" s="19"/>
      <c r="F37" s="11"/>
      <c r="G37" s="59"/>
      <c r="H37" s="18"/>
      <c r="I37" s="18" t="s">
        <v>232</v>
      </c>
      <c r="J37" s="19"/>
      <c r="K37" s="19"/>
      <c r="L37" s="11"/>
      <c r="M37" s="59"/>
      <c r="N37" s="263"/>
      <c r="O37" s="14"/>
      <c r="P37" s="438"/>
      <c r="Q37" s="14"/>
      <c r="R37" s="14"/>
      <c r="S37" s="14"/>
    </row>
    <row r="38" spans="2:19" x14ac:dyDescent="0.25">
      <c r="B38" s="10"/>
      <c r="C38" s="10"/>
      <c r="D38" s="11" t="s">
        <v>67</v>
      </c>
      <c r="E38" s="11"/>
      <c r="F38" s="237">
        <v>0.12</v>
      </c>
      <c r="G38" s="59" t="s">
        <v>8</v>
      </c>
      <c r="H38" s="18"/>
      <c r="I38" s="10"/>
      <c r="J38" s="11" t="s">
        <v>251</v>
      </c>
      <c r="K38" s="11"/>
      <c r="L38" s="237">
        <v>0.06</v>
      </c>
      <c r="M38" s="59" t="s">
        <v>8</v>
      </c>
      <c r="N38" s="263"/>
      <c r="O38" s="14"/>
      <c r="P38" s="658"/>
      <c r="Q38" s="659"/>
      <c r="R38" s="14"/>
      <c r="S38" s="14"/>
    </row>
    <row r="39" spans="2:19" x14ac:dyDescent="0.25">
      <c r="B39" s="10"/>
      <c r="C39" s="10"/>
      <c r="D39" s="11" t="s">
        <v>215</v>
      </c>
      <c r="E39" s="11"/>
      <c r="F39" s="237"/>
      <c r="G39" s="59"/>
      <c r="H39" s="18"/>
      <c r="I39" s="10"/>
      <c r="J39" s="11" t="s">
        <v>215</v>
      </c>
      <c r="K39" s="11"/>
      <c r="L39" s="237"/>
      <c r="M39" s="59"/>
      <c r="N39" s="263"/>
      <c r="O39" s="14"/>
      <c r="P39" s="657"/>
      <c r="Q39" s="659"/>
      <c r="R39" s="14"/>
      <c r="S39" s="14"/>
    </row>
    <row r="40" spans="2:19" x14ac:dyDescent="0.25">
      <c r="B40" s="10"/>
      <c r="C40" s="10"/>
      <c r="D40" s="11"/>
      <c r="E40" s="11" t="s">
        <v>214</v>
      </c>
      <c r="F40" s="237" t="b">
        <v>0</v>
      </c>
      <c r="G40" s="59" t="s">
        <v>87</v>
      </c>
      <c r="H40" s="18"/>
      <c r="I40" s="10"/>
      <c r="J40" s="11"/>
      <c r="K40" s="11" t="s">
        <v>214</v>
      </c>
      <c r="L40" s="237" t="b">
        <v>0</v>
      </c>
      <c r="M40" s="59" t="s">
        <v>87</v>
      </c>
      <c r="N40" s="263"/>
      <c r="O40" s="14"/>
      <c r="P40" s="331"/>
      <c r="Q40" s="14"/>
      <c r="R40" s="14"/>
      <c r="S40" s="14"/>
    </row>
    <row r="41" spans="2:19" x14ac:dyDescent="0.25">
      <c r="B41" s="10"/>
      <c r="C41" s="8"/>
      <c r="D41" s="19"/>
      <c r="E41" s="19" t="s">
        <v>60</v>
      </c>
      <c r="F41" s="237">
        <v>3.9E-2</v>
      </c>
      <c r="G41" s="59" t="s">
        <v>8</v>
      </c>
      <c r="H41" s="18"/>
      <c r="I41" s="8"/>
      <c r="J41" s="19"/>
      <c r="K41" s="19" t="s">
        <v>60</v>
      </c>
      <c r="L41" s="267">
        <f>F41</f>
        <v>3.9E-2</v>
      </c>
      <c r="M41" s="59" t="s">
        <v>247</v>
      </c>
      <c r="N41" s="263"/>
      <c r="O41" s="14"/>
      <c r="P41" s="331"/>
      <c r="Q41" s="14"/>
      <c r="R41" s="14"/>
      <c r="S41" s="14"/>
    </row>
    <row r="42" spans="2:19" x14ac:dyDescent="0.25">
      <c r="B42" s="10"/>
      <c r="C42" s="8"/>
      <c r="D42" s="11"/>
      <c r="E42" s="11" t="s">
        <v>205</v>
      </c>
      <c r="F42" s="86">
        <v>6.5000000000000002E-2</v>
      </c>
      <c r="G42" s="59" t="s">
        <v>21</v>
      </c>
      <c r="H42" s="18"/>
      <c r="I42" s="8"/>
      <c r="J42" s="11"/>
      <c r="K42" s="11" t="s">
        <v>205</v>
      </c>
      <c r="L42" s="268">
        <f>F42</f>
        <v>6.5000000000000002E-2</v>
      </c>
      <c r="M42" s="59" t="s">
        <v>21</v>
      </c>
      <c r="N42" s="263"/>
      <c r="O42" s="14"/>
      <c r="P42" s="331"/>
      <c r="Q42" s="14"/>
      <c r="R42" s="14"/>
      <c r="S42" s="14"/>
    </row>
    <row r="43" spans="2:19" x14ac:dyDescent="0.25">
      <c r="B43" s="10"/>
      <c r="C43" s="8"/>
      <c r="D43" s="11" t="s">
        <v>216</v>
      </c>
      <c r="E43" s="11"/>
      <c r="F43" s="86"/>
      <c r="G43" s="59"/>
      <c r="H43" s="18"/>
      <c r="I43" s="8"/>
      <c r="J43" s="11" t="s">
        <v>216</v>
      </c>
      <c r="K43" s="11"/>
      <c r="L43" s="86"/>
      <c r="M43" s="59"/>
      <c r="N43" s="263"/>
      <c r="O43" s="14"/>
      <c r="P43" s="14"/>
      <c r="Q43" s="14"/>
      <c r="R43" s="14"/>
      <c r="S43" s="14"/>
    </row>
    <row r="44" spans="2:19" x14ac:dyDescent="0.25">
      <c r="B44" s="10"/>
      <c r="C44" s="8"/>
      <c r="D44" s="11"/>
      <c r="E44" s="11" t="s">
        <v>217</v>
      </c>
      <c r="F44" s="86" t="b">
        <v>0</v>
      </c>
      <c r="G44" s="59" t="s">
        <v>87</v>
      </c>
      <c r="H44" s="18"/>
      <c r="I44" s="8"/>
      <c r="J44" s="11"/>
      <c r="K44" s="11" t="s">
        <v>217</v>
      </c>
      <c r="L44" s="86" t="b">
        <v>0</v>
      </c>
      <c r="M44" s="59" t="s">
        <v>87</v>
      </c>
      <c r="N44" s="263"/>
      <c r="O44" s="14"/>
      <c r="P44" s="14"/>
      <c r="Q44" s="14"/>
      <c r="R44" s="14"/>
      <c r="S44" s="14"/>
    </row>
    <row r="45" spans="2:19" x14ac:dyDescent="0.25">
      <c r="B45" s="10"/>
      <c r="C45" s="10"/>
      <c r="D45" s="11"/>
      <c r="E45" s="11" t="s">
        <v>218</v>
      </c>
      <c r="F45" s="86">
        <v>0.622</v>
      </c>
      <c r="G45" s="59" t="s">
        <v>7</v>
      </c>
      <c r="H45" s="18"/>
      <c r="I45" s="10"/>
      <c r="J45" s="11"/>
      <c r="K45" s="11" t="s">
        <v>218</v>
      </c>
      <c r="L45" s="86">
        <f>1-F45</f>
        <v>0.378</v>
      </c>
      <c r="M45" s="59"/>
      <c r="N45" s="263"/>
      <c r="O45" s="14"/>
      <c r="P45" s="14"/>
      <c r="Q45" s="14"/>
      <c r="R45" s="14"/>
      <c r="S45" s="14"/>
    </row>
    <row r="46" spans="2:19" x14ac:dyDescent="0.25">
      <c r="B46" s="10"/>
      <c r="C46" s="10"/>
      <c r="D46" s="11"/>
      <c r="E46" s="11"/>
      <c r="F46" s="86"/>
      <c r="G46" s="59"/>
      <c r="H46" s="18"/>
      <c r="I46" s="10"/>
      <c r="J46" s="11" t="s">
        <v>294</v>
      </c>
      <c r="K46" s="11"/>
      <c r="L46" s="237">
        <v>10</v>
      </c>
      <c r="M46" s="59" t="s">
        <v>247</v>
      </c>
      <c r="N46" s="263"/>
      <c r="O46" s="14"/>
      <c r="P46" s="14"/>
      <c r="Q46" s="14"/>
      <c r="R46" s="14"/>
      <c r="S46" s="14"/>
    </row>
    <row r="47" spans="2:19" x14ac:dyDescent="0.25">
      <c r="B47" s="10"/>
      <c r="C47" s="10"/>
      <c r="D47" s="11"/>
      <c r="E47" s="11"/>
      <c r="F47" s="11"/>
      <c r="G47" s="59"/>
      <c r="H47" s="18"/>
      <c r="I47" s="10"/>
      <c r="J47" s="11"/>
      <c r="K47" s="11"/>
      <c r="L47" s="11"/>
      <c r="M47" s="59"/>
      <c r="N47" s="263"/>
      <c r="O47" s="14"/>
      <c r="P47" s="14"/>
      <c r="Q47" s="14"/>
      <c r="R47" s="14"/>
      <c r="S47" s="14"/>
    </row>
    <row r="48" spans="2:19" x14ac:dyDescent="0.25">
      <c r="B48" s="10"/>
      <c r="C48" s="718" t="s">
        <v>373</v>
      </c>
      <c r="D48" s="719"/>
      <c r="E48" s="719"/>
      <c r="F48" s="719"/>
      <c r="G48" s="720"/>
      <c r="H48" s="19"/>
      <c r="I48" s="718" t="s">
        <v>373</v>
      </c>
      <c r="J48" s="719"/>
      <c r="K48" s="719"/>
      <c r="L48" s="719"/>
      <c r="M48" s="720"/>
      <c r="N48" s="263"/>
      <c r="O48" s="14"/>
      <c r="P48" s="14"/>
      <c r="Q48" s="14"/>
      <c r="R48" s="14"/>
      <c r="S48" s="14"/>
    </row>
    <row r="49" spans="2:19" outlineLevel="1" x14ac:dyDescent="0.25">
      <c r="B49" s="10"/>
      <c r="C49" s="708" t="s">
        <v>3</v>
      </c>
      <c r="D49" s="709"/>
      <c r="E49" s="709"/>
      <c r="F49" s="271" t="s">
        <v>5</v>
      </c>
      <c r="G49" s="28" t="s">
        <v>4</v>
      </c>
      <c r="H49" s="19"/>
      <c r="I49" s="708" t="s">
        <v>3</v>
      </c>
      <c r="J49" s="709"/>
      <c r="K49" s="709"/>
      <c r="L49" s="271" t="s">
        <v>5</v>
      </c>
      <c r="M49" s="28" t="s">
        <v>4</v>
      </c>
      <c r="N49" s="263"/>
      <c r="O49" s="14"/>
      <c r="P49" s="14"/>
      <c r="Q49" s="14"/>
      <c r="R49" s="14"/>
      <c r="S49" s="14"/>
    </row>
    <row r="50" spans="2:19" outlineLevel="1" x14ac:dyDescent="0.25">
      <c r="B50" s="10"/>
      <c r="C50" s="10" t="s">
        <v>374</v>
      </c>
      <c r="D50" s="11"/>
      <c r="E50" s="11"/>
      <c r="F50" s="350" t="b">
        <v>1</v>
      </c>
      <c r="G50" s="59" t="s">
        <v>87</v>
      </c>
      <c r="H50" s="19"/>
      <c r="I50" s="10" t="s">
        <v>374</v>
      </c>
      <c r="J50" s="11"/>
      <c r="K50" s="11"/>
      <c r="L50" s="350" t="b">
        <v>1</v>
      </c>
      <c r="M50" s="59" t="s">
        <v>87</v>
      </c>
      <c r="N50" s="263"/>
      <c r="O50" s="14"/>
      <c r="P50" s="14"/>
      <c r="Q50" s="14"/>
      <c r="R50" s="14"/>
      <c r="S50" s="14"/>
    </row>
    <row r="51" spans="2:19" outlineLevel="1" x14ac:dyDescent="0.25">
      <c r="B51" s="10"/>
      <c r="C51" s="10" t="s">
        <v>375</v>
      </c>
      <c r="D51" s="11"/>
      <c r="E51" s="11"/>
      <c r="F51" s="231" t="b">
        <v>0</v>
      </c>
      <c r="G51" s="59" t="s">
        <v>19</v>
      </c>
      <c r="H51" s="19"/>
      <c r="I51" s="10" t="s">
        <v>375</v>
      </c>
      <c r="J51" s="11"/>
      <c r="K51" s="11"/>
      <c r="L51" s="231" t="b">
        <v>0</v>
      </c>
      <c r="M51" s="59" t="s">
        <v>19</v>
      </c>
      <c r="N51" s="263"/>
      <c r="O51" s="14"/>
      <c r="P51" s="14"/>
      <c r="Q51" s="14"/>
      <c r="R51" s="14"/>
      <c r="S51" s="14"/>
    </row>
    <row r="52" spans="2:19" hidden="1" outlineLevel="2" x14ac:dyDescent="0.25">
      <c r="B52" s="10"/>
      <c r="C52" s="10"/>
      <c r="D52" s="11" t="s">
        <v>376</v>
      </c>
      <c r="E52" s="11"/>
      <c r="F52" s="231" t="b">
        <v>0</v>
      </c>
      <c r="G52" s="59" t="s">
        <v>19</v>
      </c>
      <c r="H52" s="19"/>
      <c r="I52" s="10"/>
      <c r="J52" s="11" t="s">
        <v>376</v>
      </c>
      <c r="K52" s="11"/>
      <c r="L52" s="231" t="b">
        <v>0</v>
      </c>
      <c r="M52" s="59" t="s">
        <v>19</v>
      </c>
      <c r="N52" s="263"/>
      <c r="O52" s="14"/>
      <c r="P52" s="14"/>
      <c r="Q52" s="14"/>
      <c r="R52" s="14"/>
      <c r="S52" s="14"/>
    </row>
    <row r="53" spans="2:19" hidden="1" outlineLevel="2" x14ac:dyDescent="0.25">
      <c r="B53" s="10"/>
      <c r="C53" s="10"/>
      <c r="D53" s="11" t="s">
        <v>377</v>
      </c>
      <c r="E53" s="11"/>
      <c r="F53" s="231">
        <v>3</v>
      </c>
      <c r="G53" s="59" t="s">
        <v>31</v>
      </c>
      <c r="H53" s="19"/>
      <c r="I53" s="10"/>
      <c r="J53" s="11" t="s">
        <v>377</v>
      </c>
      <c r="K53" s="11"/>
      <c r="L53" s="231">
        <v>3</v>
      </c>
      <c r="M53" s="59" t="s">
        <v>31</v>
      </c>
      <c r="N53" s="263"/>
      <c r="O53" s="14"/>
      <c r="P53" s="14"/>
      <c r="Q53" s="14"/>
      <c r="R53" s="14"/>
      <c r="S53" s="14"/>
    </row>
    <row r="54" spans="2:19" outlineLevel="1" collapsed="1" x14ac:dyDescent="0.25">
      <c r="B54" s="10"/>
      <c r="C54" s="10"/>
      <c r="D54" s="11"/>
      <c r="E54" s="11"/>
      <c r="F54" s="11"/>
      <c r="G54" s="59"/>
      <c r="H54" s="19"/>
      <c r="I54" s="10"/>
      <c r="J54" s="11"/>
      <c r="K54" s="11"/>
      <c r="L54" s="11"/>
      <c r="M54" s="59"/>
      <c r="N54" s="263"/>
      <c r="O54" s="14"/>
      <c r="P54" s="14"/>
      <c r="Q54" s="14"/>
      <c r="R54" s="14"/>
      <c r="S54" s="14"/>
    </row>
    <row r="55" spans="2:19" x14ac:dyDescent="0.25">
      <c r="B55" s="10"/>
      <c r="C55" s="718" t="s">
        <v>378</v>
      </c>
      <c r="D55" s="719"/>
      <c r="E55" s="719"/>
      <c r="F55" s="719"/>
      <c r="G55" s="720"/>
      <c r="H55" s="19"/>
      <c r="I55" s="718" t="s">
        <v>378</v>
      </c>
      <c r="J55" s="719"/>
      <c r="K55" s="719"/>
      <c r="L55" s="719"/>
      <c r="M55" s="720"/>
      <c r="N55" s="263"/>
      <c r="O55" s="14"/>
      <c r="P55" s="14"/>
      <c r="Q55" s="14"/>
      <c r="R55" s="14"/>
      <c r="S55" s="14"/>
    </row>
    <row r="56" spans="2:19" outlineLevel="1" x14ac:dyDescent="0.25">
      <c r="B56" s="10"/>
      <c r="C56" s="708" t="s">
        <v>3</v>
      </c>
      <c r="D56" s="709"/>
      <c r="E56" s="709"/>
      <c r="F56" s="271" t="s">
        <v>5</v>
      </c>
      <c r="G56" s="28" t="s">
        <v>4</v>
      </c>
      <c r="H56" s="19"/>
      <c r="I56" s="708" t="s">
        <v>3</v>
      </c>
      <c r="J56" s="709"/>
      <c r="K56" s="709"/>
      <c r="L56" s="271" t="s">
        <v>5</v>
      </c>
      <c r="M56" s="28" t="s">
        <v>4</v>
      </c>
      <c r="N56" s="263"/>
      <c r="O56" s="14"/>
      <c r="P56" s="14"/>
      <c r="Q56" s="14"/>
      <c r="R56" s="14"/>
      <c r="S56" s="14"/>
    </row>
    <row r="57" spans="2:19" outlineLevel="1" x14ac:dyDescent="0.25">
      <c r="B57" s="10"/>
      <c r="C57" s="10" t="s">
        <v>379</v>
      </c>
      <c r="D57" s="11"/>
      <c r="E57" s="11"/>
      <c r="F57" s="86" t="b">
        <v>1</v>
      </c>
      <c r="G57" s="59" t="s">
        <v>87</v>
      </c>
      <c r="H57" s="19"/>
      <c r="I57" s="10" t="s">
        <v>379</v>
      </c>
      <c r="J57" s="11"/>
      <c r="K57" s="11"/>
      <c r="L57" s="86" t="b">
        <v>1</v>
      </c>
      <c r="M57" s="59" t="s">
        <v>87</v>
      </c>
      <c r="N57" s="263"/>
      <c r="O57" s="14"/>
      <c r="P57" s="14"/>
      <c r="Q57" s="14"/>
      <c r="R57" s="14"/>
      <c r="S57" s="14"/>
    </row>
    <row r="58" spans="2:19" outlineLevel="1" x14ac:dyDescent="0.25">
      <c r="B58" s="10"/>
      <c r="C58" s="10" t="s">
        <v>393</v>
      </c>
      <c r="D58" s="11"/>
      <c r="E58" s="11"/>
      <c r="F58" s="231" t="b">
        <v>0</v>
      </c>
      <c r="G58" s="59" t="s">
        <v>19</v>
      </c>
      <c r="H58" s="19"/>
      <c r="I58" s="10" t="s">
        <v>393</v>
      </c>
      <c r="J58" s="11"/>
      <c r="K58" s="11"/>
      <c r="L58" s="231" t="b">
        <v>0</v>
      </c>
      <c r="M58" s="59" t="s">
        <v>19</v>
      </c>
      <c r="N58" s="263"/>
      <c r="O58" s="14"/>
      <c r="P58" s="14"/>
      <c r="Q58" s="14"/>
      <c r="R58" s="14"/>
      <c r="S58" s="14"/>
    </row>
    <row r="59" spans="2:19" outlineLevel="1" x14ac:dyDescent="0.25">
      <c r="B59" s="10"/>
      <c r="C59" s="10" t="s">
        <v>380</v>
      </c>
      <c r="D59" s="11"/>
      <c r="E59" s="11"/>
      <c r="F59" s="231" t="b">
        <v>0</v>
      </c>
      <c r="G59" s="59" t="s">
        <v>19</v>
      </c>
      <c r="H59" s="19"/>
      <c r="I59" s="10" t="s">
        <v>380</v>
      </c>
      <c r="J59" s="11"/>
      <c r="K59" s="11"/>
      <c r="L59" s="231" t="b">
        <v>0</v>
      </c>
      <c r="M59" s="349" t="s">
        <v>19</v>
      </c>
      <c r="N59" s="263"/>
      <c r="O59" s="14"/>
      <c r="P59" s="14"/>
      <c r="Q59" s="14"/>
      <c r="R59" s="14"/>
      <c r="S59" s="14"/>
    </row>
    <row r="60" spans="2:19" hidden="1" outlineLevel="2" x14ac:dyDescent="0.25">
      <c r="B60" s="10"/>
      <c r="C60" s="10"/>
      <c r="D60" s="11" t="s">
        <v>381</v>
      </c>
      <c r="E60" s="11"/>
      <c r="F60" s="105">
        <v>1</v>
      </c>
      <c r="G60" s="59" t="s">
        <v>7</v>
      </c>
      <c r="H60" s="19"/>
      <c r="I60" s="10"/>
      <c r="J60" s="11" t="s">
        <v>381</v>
      </c>
      <c r="K60" s="11"/>
      <c r="L60" s="105">
        <v>1</v>
      </c>
      <c r="M60" s="349" t="s">
        <v>7</v>
      </c>
      <c r="N60" s="263"/>
      <c r="O60" s="14"/>
      <c r="P60" s="14"/>
      <c r="Q60" s="14"/>
      <c r="R60" s="14"/>
      <c r="S60" s="14"/>
    </row>
    <row r="61" spans="2:19" outlineLevel="1" collapsed="1" x14ac:dyDescent="0.25">
      <c r="B61" s="10"/>
      <c r="C61" s="10"/>
      <c r="D61" s="11"/>
      <c r="E61" s="11"/>
      <c r="F61" s="11"/>
      <c r="G61" s="59"/>
      <c r="H61" s="19"/>
      <c r="I61" s="10"/>
      <c r="J61" s="11"/>
      <c r="K61" s="11"/>
      <c r="L61" s="11"/>
      <c r="M61" s="59"/>
      <c r="N61" s="263"/>
      <c r="O61" s="14"/>
      <c r="P61" s="14"/>
      <c r="Q61" s="14"/>
      <c r="R61" s="14"/>
      <c r="S61" s="14"/>
    </row>
    <row r="62" spans="2:19" x14ac:dyDescent="0.25">
      <c r="B62" s="10"/>
      <c r="C62" s="718" t="s">
        <v>92</v>
      </c>
      <c r="D62" s="719"/>
      <c r="E62" s="719"/>
      <c r="F62" s="719"/>
      <c r="G62" s="720"/>
      <c r="H62" s="19"/>
      <c r="I62" s="718" t="s">
        <v>92</v>
      </c>
      <c r="J62" s="719"/>
      <c r="K62" s="719"/>
      <c r="L62" s="719"/>
      <c r="M62" s="720"/>
      <c r="N62" s="263"/>
      <c r="O62" s="14"/>
      <c r="P62" s="14"/>
      <c r="Q62" s="14"/>
      <c r="R62" s="14"/>
      <c r="S62" s="14"/>
    </row>
    <row r="63" spans="2:19" outlineLevel="1" x14ac:dyDescent="0.25">
      <c r="B63" s="10"/>
      <c r="C63" s="708" t="s">
        <v>3</v>
      </c>
      <c r="D63" s="709"/>
      <c r="E63" s="709"/>
      <c r="F63" s="236" t="s">
        <v>5</v>
      </c>
      <c r="G63" s="28" t="s">
        <v>4</v>
      </c>
      <c r="H63" s="19"/>
      <c r="I63" s="708" t="s">
        <v>3</v>
      </c>
      <c r="J63" s="709"/>
      <c r="K63" s="709"/>
      <c r="L63" s="236" t="s">
        <v>5</v>
      </c>
      <c r="M63" s="28" t="s">
        <v>4</v>
      </c>
      <c r="N63" s="263"/>
      <c r="O63" s="14"/>
      <c r="P63" s="14"/>
      <c r="Q63" s="14"/>
      <c r="R63" s="14"/>
      <c r="S63" s="14"/>
    </row>
    <row r="64" spans="2:19" outlineLevel="1" x14ac:dyDescent="0.25">
      <c r="B64" s="10"/>
      <c r="C64" s="142" t="s">
        <v>93</v>
      </c>
      <c r="D64" s="143"/>
      <c r="E64" s="143"/>
      <c r="F64" s="165">
        <f>('Utility Sector'!E17*'Utility Sector'!E18)+('Utility Sector'!E19*'Utility Sector'!E20)</f>
        <v>7.9621999999999998E-2</v>
      </c>
      <c r="G64" s="144" t="s">
        <v>7</v>
      </c>
      <c r="H64" s="19"/>
      <c r="I64" s="142" t="s">
        <v>93</v>
      </c>
      <c r="J64" s="143"/>
      <c r="K64" s="143"/>
      <c r="L64" s="165">
        <v>0.08</v>
      </c>
      <c r="M64" s="144" t="s">
        <v>7</v>
      </c>
      <c r="N64" s="263"/>
      <c r="O64" s="14"/>
      <c r="P64" s="14"/>
      <c r="Q64" s="14"/>
      <c r="R64" s="14"/>
      <c r="S64" s="14"/>
    </row>
    <row r="65" spans="2:19" outlineLevel="1" x14ac:dyDescent="0.25">
      <c r="B65" s="10"/>
      <c r="C65" s="142" t="s">
        <v>192</v>
      </c>
      <c r="D65" s="143"/>
      <c r="E65" s="143"/>
      <c r="F65" s="165">
        <v>7.0000000000000007E-2</v>
      </c>
      <c r="G65" s="144" t="s">
        <v>19</v>
      </c>
      <c r="H65" s="19"/>
      <c r="I65" s="142" t="s">
        <v>192</v>
      </c>
      <c r="J65" s="143"/>
      <c r="K65" s="143"/>
      <c r="L65" s="165">
        <v>7.0000000000000007E-2</v>
      </c>
      <c r="M65" s="144" t="s">
        <v>19</v>
      </c>
      <c r="N65" s="263"/>
      <c r="O65" s="14"/>
      <c r="P65" s="14"/>
      <c r="Q65" s="14"/>
      <c r="R65" s="14"/>
      <c r="S65" s="14"/>
    </row>
    <row r="66" spans="2:19" outlineLevel="1" x14ac:dyDescent="0.25">
      <c r="B66" s="10"/>
      <c r="C66" s="142"/>
      <c r="D66" s="143"/>
      <c r="E66" s="143"/>
      <c r="F66" s="165"/>
      <c r="G66" s="144"/>
      <c r="H66" s="19"/>
      <c r="I66" s="142"/>
      <c r="J66" s="143"/>
      <c r="K66" s="143"/>
      <c r="L66" s="165"/>
      <c r="M66" s="144"/>
      <c r="N66" s="263"/>
      <c r="O66" s="14"/>
      <c r="P66" s="14"/>
      <c r="Q66" s="14"/>
      <c r="R66" s="14"/>
      <c r="S66" s="14"/>
    </row>
    <row r="67" spans="2:19" x14ac:dyDescent="0.25">
      <c r="B67" s="10"/>
      <c r="C67" s="715" t="s">
        <v>71</v>
      </c>
      <c r="D67" s="716"/>
      <c r="E67" s="716"/>
      <c r="F67" s="716"/>
      <c r="G67" s="717"/>
      <c r="H67" s="19"/>
      <c r="I67" s="715" t="s">
        <v>71</v>
      </c>
      <c r="J67" s="716"/>
      <c r="K67" s="716"/>
      <c r="L67" s="716"/>
      <c r="M67" s="717"/>
      <c r="N67" s="263"/>
      <c r="O67" s="14"/>
      <c r="P67" s="14"/>
      <c r="Q67" s="14"/>
      <c r="R67" s="14"/>
      <c r="S67" s="14"/>
    </row>
    <row r="68" spans="2:19" outlineLevel="1" x14ac:dyDescent="0.25">
      <c r="B68" s="10"/>
      <c r="C68" s="708" t="s">
        <v>3</v>
      </c>
      <c r="D68" s="709"/>
      <c r="E68" s="709"/>
      <c r="F68" s="236" t="s">
        <v>5</v>
      </c>
      <c r="G68" s="28" t="s">
        <v>4</v>
      </c>
      <c r="H68" s="19"/>
      <c r="I68" s="708" t="s">
        <v>3</v>
      </c>
      <c r="J68" s="709"/>
      <c r="K68" s="709"/>
      <c r="L68" s="236" t="s">
        <v>5</v>
      </c>
      <c r="M68" s="28" t="s">
        <v>4</v>
      </c>
      <c r="N68" s="263"/>
      <c r="O68" s="14"/>
      <c r="P68" s="14"/>
      <c r="Q68" s="14"/>
      <c r="R68" s="14"/>
      <c r="S68" s="14"/>
    </row>
    <row r="69" spans="2:19" outlineLevel="1" x14ac:dyDescent="0.25">
      <c r="B69" s="10"/>
      <c r="C69" s="10" t="s">
        <v>73</v>
      </c>
      <c r="D69" s="11"/>
      <c r="E69" s="11"/>
      <c r="F69" s="11"/>
      <c r="G69" s="59"/>
      <c r="H69" s="19"/>
      <c r="I69" s="10" t="s">
        <v>73</v>
      </c>
      <c r="J69" s="11"/>
      <c r="K69" s="11"/>
      <c r="L69" s="11"/>
      <c r="M69" s="59"/>
      <c r="N69" s="263"/>
      <c r="O69" s="14"/>
      <c r="P69" s="14"/>
      <c r="Q69" s="14"/>
      <c r="R69" s="14"/>
      <c r="S69" s="14"/>
    </row>
    <row r="70" spans="2:19" outlineLevel="1" x14ac:dyDescent="0.25">
      <c r="B70" s="10"/>
      <c r="C70" s="10"/>
      <c r="D70" s="11" t="s">
        <v>74</v>
      </c>
      <c r="E70" s="11"/>
      <c r="F70" s="36">
        <v>435</v>
      </c>
      <c r="G70" s="59" t="s">
        <v>75</v>
      </c>
      <c r="H70" s="19"/>
      <c r="I70" s="10"/>
      <c r="J70" s="11" t="s">
        <v>74</v>
      </c>
      <c r="K70" s="11"/>
      <c r="L70" s="36">
        <f>F70</f>
        <v>435</v>
      </c>
      <c r="M70" s="59" t="s">
        <v>75</v>
      </c>
      <c r="N70" s="263"/>
      <c r="O70" s="14"/>
      <c r="P70" s="14"/>
      <c r="Q70" s="14"/>
      <c r="R70" s="14"/>
      <c r="S70" s="14"/>
    </row>
    <row r="71" spans="2:19" outlineLevel="1" x14ac:dyDescent="0.25">
      <c r="B71" s="10"/>
      <c r="C71" s="10"/>
      <c r="D71" s="11" t="s">
        <v>85</v>
      </c>
      <c r="E71" s="11"/>
      <c r="F71" s="36">
        <f>F13*0.8</f>
        <v>3911719.9391171993</v>
      </c>
      <c r="G71" s="59" t="s">
        <v>79</v>
      </c>
      <c r="H71" s="19"/>
      <c r="I71" s="10"/>
      <c r="J71" s="11" t="s">
        <v>85</v>
      </c>
      <c r="K71" s="11"/>
      <c r="L71" s="36">
        <f>L13*0.8</f>
        <v>8430593.6073059365</v>
      </c>
      <c r="M71" s="59" t="s">
        <v>79</v>
      </c>
      <c r="N71" s="263"/>
      <c r="O71" s="14"/>
      <c r="P71" s="464"/>
      <c r="Q71" s="14"/>
      <c r="R71" s="14"/>
      <c r="S71" s="14"/>
    </row>
    <row r="72" spans="2:19" outlineLevel="1" x14ac:dyDescent="0.25">
      <c r="B72" s="10"/>
      <c r="C72" s="10"/>
      <c r="D72" s="11" t="s">
        <v>295</v>
      </c>
      <c r="E72" s="11"/>
      <c r="F72" s="22">
        <v>0.08</v>
      </c>
      <c r="G72" s="59" t="s">
        <v>7</v>
      </c>
      <c r="H72" s="19"/>
      <c r="I72" s="10"/>
      <c r="J72" s="11" t="s">
        <v>295</v>
      </c>
      <c r="K72" s="11"/>
      <c r="L72" s="22">
        <v>0.1</v>
      </c>
      <c r="M72" s="59" t="s">
        <v>7</v>
      </c>
      <c r="N72" s="263"/>
      <c r="O72" s="14"/>
      <c r="P72" s="464"/>
      <c r="Q72" s="14"/>
      <c r="R72" s="14"/>
      <c r="S72" s="14"/>
    </row>
    <row r="73" spans="2:19" outlineLevel="1" x14ac:dyDescent="0.25">
      <c r="B73" s="10"/>
      <c r="C73" s="10"/>
      <c r="D73" s="11"/>
      <c r="E73" s="11"/>
      <c r="F73" s="11"/>
      <c r="G73" s="59"/>
      <c r="H73" s="19"/>
      <c r="I73" s="10"/>
      <c r="J73" s="11"/>
      <c r="K73" s="11"/>
      <c r="L73" s="11"/>
      <c r="M73" s="59"/>
      <c r="N73" s="263"/>
      <c r="O73" s="14"/>
      <c r="P73" s="464"/>
      <c r="Q73" s="14"/>
      <c r="R73" s="14"/>
      <c r="S73" s="14"/>
    </row>
    <row r="74" spans="2:19" outlineLevel="1" x14ac:dyDescent="0.25">
      <c r="B74" s="10"/>
      <c r="C74" s="10" t="s">
        <v>72</v>
      </c>
      <c r="D74" s="11"/>
      <c r="E74" s="11"/>
      <c r="F74" s="11"/>
      <c r="G74" s="59"/>
      <c r="H74" s="19"/>
      <c r="I74" s="10" t="s">
        <v>72</v>
      </c>
      <c r="J74" s="11"/>
      <c r="K74" s="11"/>
      <c r="L74" s="11"/>
      <c r="M74" s="59"/>
      <c r="N74" s="263"/>
      <c r="O74" s="14"/>
      <c r="P74" s="464"/>
      <c r="Q74" s="438"/>
      <c r="R74" s="438"/>
      <c r="S74" s="331"/>
    </row>
    <row r="75" spans="2:19" outlineLevel="1" x14ac:dyDescent="0.25">
      <c r="B75" s="10"/>
      <c r="C75" s="10"/>
      <c r="D75" s="11" t="s">
        <v>83</v>
      </c>
      <c r="E75" s="11"/>
      <c r="F75" s="437">
        <v>5.8000000000000003E-2</v>
      </c>
      <c r="G75" s="59" t="s">
        <v>8</v>
      </c>
      <c r="H75" s="19"/>
      <c r="I75" s="10"/>
      <c r="J75" s="11" t="s">
        <v>83</v>
      </c>
      <c r="K75" s="11"/>
      <c r="L75" s="437">
        <f>F75</f>
        <v>5.8000000000000003E-2</v>
      </c>
      <c r="M75" s="59" t="s">
        <v>8</v>
      </c>
      <c r="N75" s="263"/>
      <c r="O75" s="14"/>
      <c r="P75" s="464"/>
      <c r="Q75" s="438"/>
      <c r="R75" s="438"/>
      <c r="S75" s="331"/>
    </row>
    <row r="76" spans="2:19" outlineLevel="1" x14ac:dyDescent="0.25">
      <c r="B76" s="10"/>
      <c r="C76" s="10"/>
      <c r="D76" s="11"/>
      <c r="E76" s="11" t="s">
        <v>84</v>
      </c>
      <c r="F76" s="437">
        <v>0.1</v>
      </c>
      <c r="G76" s="59" t="s">
        <v>19</v>
      </c>
      <c r="H76" s="19"/>
      <c r="I76" s="10"/>
      <c r="J76" s="11"/>
      <c r="K76" s="11" t="s">
        <v>84</v>
      </c>
      <c r="L76" s="437">
        <f>F76</f>
        <v>0.1</v>
      </c>
      <c r="M76" s="59" t="s">
        <v>19</v>
      </c>
      <c r="N76" s="263"/>
      <c r="O76" s="14"/>
      <c r="P76" s="464"/>
      <c r="Q76" s="438"/>
      <c r="R76" s="438"/>
      <c r="S76" s="331"/>
    </row>
    <row r="77" spans="2:19" outlineLevel="1" x14ac:dyDescent="0.25">
      <c r="B77" s="10"/>
      <c r="C77" s="10"/>
      <c r="D77" s="11" t="s">
        <v>81</v>
      </c>
      <c r="E77" s="11"/>
      <c r="F77" s="437">
        <v>0.03</v>
      </c>
      <c r="G77" s="59" t="s">
        <v>19</v>
      </c>
      <c r="H77" s="19"/>
      <c r="I77" s="10"/>
      <c r="J77" s="11" t="s">
        <v>81</v>
      </c>
      <c r="K77" s="11"/>
      <c r="L77" s="437">
        <f>F77</f>
        <v>0.03</v>
      </c>
      <c r="M77" s="59" t="s">
        <v>19</v>
      </c>
      <c r="N77" s="263"/>
      <c r="O77" s="14"/>
      <c r="P77" s="464"/>
      <c r="Q77" s="14"/>
      <c r="R77" s="14"/>
      <c r="S77" s="14"/>
    </row>
    <row r="78" spans="2:19" outlineLevel="1" x14ac:dyDescent="0.25">
      <c r="B78" s="10"/>
      <c r="C78" s="10"/>
      <c r="D78" s="11"/>
      <c r="E78" s="11" t="s">
        <v>82</v>
      </c>
      <c r="F78" s="437">
        <v>0.04</v>
      </c>
      <c r="G78" s="59" t="s">
        <v>19</v>
      </c>
      <c r="H78" s="19"/>
      <c r="I78" s="10"/>
      <c r="J78" s="11"/>
      <c r="K78" s="11" t="s">
        <v>82</v>
      </c>
      <c r="L78" s="437">
        <f>F78</f>
        <v>0.04</v>
      </c>
      <c r="M78" s="59" t="s">
        <v>19</v>
      </c>
      <c r="N78" s="263"/>
      <c r="O78" s="14"/>
      <c r="P78" s="464"/>
      <c r="Q78" s="14"/>
      <c r="R78" s="14"/>
      <c r="S78" s="14"/>
    </row>
    <row r="79" spans="2:19" outlineLevel="1" x14ac:dyDescent="0.25">
      <c r="B79" s="10"/>
      <c r="C79" s="26"/>
      <c r="D79" s="29"/>
      <c r="E79" s="29"/>
      <c r="F79" s="238"/>
      <c r="G79" s="78"/>
      <c r="H79" s="19"/>
      <c r="I79" s="26"/>
      <c r="J79" s="29"/>
      <c r="K79" s="29"/>
      <c r="L79" s="238"/>
      <c r="M79" s="78"/>
      <c r="N79" s="263"/>
      <c r="O79" s="14"/>
      <c r="P79" s="14"/>
      <c r="Q79" s="14"/>
      <c r="R79" s="14"/>
      <c r="S79" s="14"/>
    </row>
    <row r="80" spans="2:19" x14ac:dyDescent="0.25">
      <c r="B80" s="10"/>
      <c r="C80" s="718" t="s">
        <v>221</v>
      </c>
      <c r="D80" s="719"/>
      <c r="E80" s="719"/>
      <c r="F80" s="719"/>
      <c r="G80" s="720"/>
      <c r="H80" s="19"/>
      <c r="I80" s="718" t="s">
        <v>221</v>
      </c>
      <c r="J80" s="719"/>
      <c r="K80" s="719"/>
      <c r="L80" s="719"/>
      <c r="M80" s="720"/>
      <c r="N80" s="263"/>
      <c r="O80" s="14"/>
      <c r="P80" s="14"/>
      <c r="Q80" s="14"/>
      <c r="R80" s="14"/>
      <c r="S80" s="14"/>
    </row>
    <row r="81" spans="1:19" hidden="1" outlineLevel="1" x14ac:dyDescent="0.25">
      <c r="A81" s="437">
        <v>5.8000000000000003E-2</v>
      </c>
      <c r="B81" s="10"/>
      <c r="C81" s="710" t="s">
        <v>3</v>
      </c>
      <c r="D81" s="711"/>
      <c r="E81" s="711"/>
      <c r="F81" s="258" t="s">
        <v>5</v>
      </c>
      <c r="G81" s="259" t="s">
        <v>4</v>
      </c>
      <c r="H81" s="19"/>
      <c r="I81" s="710" t="s">
        <v>3</v>
      </c>
      <c r="J81" s="711"/>
      <c r="K81" s="711"/>
      <c r="L81" s="258" t="s">
        <v>5</v>
      </c>
      <c r="M81" s="259" t="s">
        <v>4</v>
      </c>
      <c r="N81" s="263"/>
      <c r="O81" s="14"/>
      <c r="P81" s="14"/>
      <c r="Q81" s="14"/>
      <c r="R81" s="14"/>
      <c r="S81" s="14"/>
    </row>
    <row r="82" spans="1:19" hidden="1" outlineLevel="1" x14ac:dyDescent="0.25">
      <c r="A82" s="437">
        <v>0.1</v>
      </c>
      <c r="B82" s="10"/>
      <c r="C82" s="10" t="s">
        <v>224</v>
      </c>
      <c r="D82" s="11"/>
      <c r="E82" s="11"/>
      <c r="F82" s="22"/>
      <c r="G82" s="59"/>
      <c r="H82" s="19"/>
      <c r="I82" s="10" t="s">
        <v>224</v>
      </c>
      <c r="J82" s="11"/>
      <c r="K82" s="11"/>
      <c r="L82" s="22"/>
      <c r="M82" s="59"/>
      <c r="N82" s="263"/>
      <c r="O82" s="14"/>
      <c r="P82" s="14"/>
      <c r="Q82" s="14"/>
      <c r="R82" s="14"/>
      <c r="S82" s="14"/>
    </row>
    <row r="83" spans="1:19" hidden="1" outlineLevel="1" x14ac:dyDescent="0.25">
      <c r="A83" s="437">
        <v>0.03</v>
      </c>
      <c r="B83" s="10"/>
      <c r="C83" s="10"/>
      <c r="D83" s="11" t="s">
        <v>223</v>
      </c>
      <c r="E83" s="11"/>
      <c r="F83" s="162">
        <v>0</v>
      </c>
      <c r="G83" s="59" t="s">
        <v>18</v>
      </c>
      <c r="H83" s="19"/>
      <c r="I83" s="10"/>
      <c r="J83" s="11" t="s">
        <v>223</v>
      </c>
      <c r="K83" s="11"/>
      <c r="L83" s="162">
        <v>0</v>
      </c>
      <c r="M83" s="59" t="s">
        <v>18</v>
      </c>
      <c r="N83" s="263"/>
      <c r="O83" s="14"/>
      <c r="P83" s="14"/>
      <c r="Q83" s="14"/>
      <c r="R83" s="14"/>
      <c r="S83" s="14"/>
    </row>
    <row r="84" spans="1:19" hidden="1" outlineLevel="1" x14ac:dyDescent="0.25">
      <c r="A84" s="437">
        <v>0.04</v>
      </c>
      <c r="B84" s="10"/>
      <c r="C84" s="10"/>
      <c r="D84" s="11" t="s">
        <v>94</v>
      </c>
      <c r="E84" s="11"/>
      <c r="F84" s="85" t="b">
        <v>0</v>
      </c>
      <c r="G84" s="59" t="s">
        <v>87</v>
      </c>
      <c r="H84" s="19"/>
      <c r="I84" s="10"/>
      <c r="J84" s="11" t="s">
        <v>94</v>
      </c>
      <c r="K84" s="11"/>
      <c r="L84" s="85" t="b">
        <v>0</v>
      </c>
      <c r="M84" s="59" t="s">
        <v>87</v>
      </c>
      <c r="N84" s="263"/>
      <c r="O84" s="14"/>
      <c r="P84" s="14"/>
      <c r="Q84" s="14"/>
      <c r="R84" s="14"/>
      <c r="S84" s="14"/>
    </row>
    <row r="85" spans="1:19" hidden="1" outlineLevel="1" x14ac:dyDescent="0.25">
      <c r="B85" s="10"/>
      <c r="C85" s="10"/>
      <c r="D85" s="11" t="s">
        <v>23</v>
      </c>
      <c r="E85" s="11"/>
      <c r="F85" s="86">
        <v>0</v>
      </c>
      <c r="G85" s="59" t="s">
        <v>21</v>
      </c>
      <c r="H85" s="19"/>
      <c r="I85" s="10"/>
      <c r="J85" s="11" t="s">
        <v>23</v>
      </c>
      <c r="K85" s="11"/>
      <c r="L85" s="86">
        <v>0</v>
      </c>
      <c r="M85" s="59" t="s">
        <v>21</v>
      </c>
      <c r="N85" s="263"/>
      <c r="O85" s="14"/>
      <c r="P85" s="14"/>
      <c r="Q85" s="14"/>
      <c r="R85" s="14"/>
      <c r="S85" s="14"/>
    </row>
    <row r="86" spans="1:19" hidden="1" outlineLevel="1" x14ac:dyDescent="0.25">
      <c r="B86" s="10"/>
      <c r="C86" s="10"/>
      <c r="D86" s="11"/>
      <c r="E86" s="11"/>
      <c r="F86" s="86"/>
      <c r="G86" s="59"/>
      <c r="H86" s="19"/>
      <c r="I86" s="10"/>
      <c r="J86" s="11"/>
      <c r="K86" s="11"/>
      <c r="L86" s="86"/>
      <c r="M86" s="59"/>
      <c r="N86" s="263"/>
      <c r="O86" s="14"/>
      <c r="P86" s="14"/>
      <c r="Q86" s="14"/>
      <c r="R86" s="14"/>
      <c r="S86" s="14"/>
    </row>
    <row r="87" spans="1:19" hidden="1" outlineLevel="1" x14ac:dyDescent="0.25">
      <c r="B87" s="10"/>
      <c r="C87" s="10" t="s">
        <v>225</v>
      </c>
      <c r="D87" s="11"/>
      <c r="E87" s="11"/>
      <c r="F87" s="86"/>
      <c r="G87" s="59"/>
      <c r="H87" s="19"/>
      <c r="I87" s="10" t="s">
        <v>225</v>
      </c>
      <c r="J87" s="11"/>
      <c r="K87" s="11"/>
      <c r="L87" s="86"/>
      <c r="M87" s="59"/>
      <c r="N87" s="263"/>
      <c r="O87" s="14"/>
      <c r="P87" s="14"/>
      <c r="Q87" s="14"/>
      <c r="R87" s="14"/>
      <c r="S87" s="14"/>
    </row>
    <row r="88" spans="1:19" hidden="1" outlineLevel="1" x14ac:dyDescent="0.25">
      <c r="B88" s="10"/>
      <c r="C88" s="10"/>
      <c r="D88" s="11" t="s">
        <v>222</v>
      </c>
      <c r="E88" s="11"/>
      <c r="F88" s="22">
        <v>0</v>
      </c>
      <c r="G88" s="59" t="s">
        <v>7</v>
      </c>
      <c r="H88" s="19"/>
      <c r="I88" s="10"/>
      <c r="J88" s="11" t="s">
        <v>222</v>
      </c>
      <c r="K88" s="11"/>
      <c r="L88" s="22">
        <v>0</v>
      </c>
      <c r="M88" s="59" t="s">
        <v>7</v>
      </c>
      <c r="N88" s="263"/>
      <c r="O88" s="14"/>
      <c r="P88" s="14"/>
      <c r="Q88" s="14"/>
      <c r="R88" s="14"/>
      <c r="S88" s="14"/>
    </row>
    <row r="89" spans="1:19" hidden="1" outlineLevel="1" x14ac:dyDescent="0.25">
      <c r="B89" s="10"/>
      <c r="C89" s="26"/>
      <c r="D89" s="29"/>
      <c r="E89" s="29"/>
      <c r="F89" s="238"/>
      <c r="G89" s="78"/>
      <c r="H89" s="19"/>
      <c r="I89" s="26"/>
      <c r="J89" s="29"/>
      <c r="K89" s="29"/>
      <c r="L89" s="238"/>
      <c r="M89" s="78"/>
      <c r="N89" s="263"/>
      <c r="O89" s="14"/>
      <c r="P89" s="14"/>
      <c r="Q89" s="14"/>
      <c r="R89" s="14"/>
      <c r="S89" s="14"/>
    </row>
    <row r="90" spans="1:19" collapsed="1" x14ac:dyDescent="0.25">
      <c r="B90" s="10"/>
      <c r="C90" s="11"/>
      <c r="D90" s="11"/>
      <c r="E90" s="11"/>
      <c r="F90" s="162"/>
      <c r="G90" s="17"/>
      <c r="H90" s="726"/>
      <c r="I90" s="11"/>
      <c r="J90" s="11"/>
      <c r="K90" s="11"/>
      <c r="L90" s="162"/>
      <c r="M90" s="17"/>
      <c r="N90" s="263"/>
      <c r="O90" s="14"/>
      <c r="P90" s="14"/>
      <c r="Q90" s="14"/>
      <c r="R90" s="14"/>
      <c r="S90" s="14"/>
    </row>
    <row r="91" spans="1:19" x14ac:dyDescent="0.25">
      <c r="B91" s="10"/>
      <c r="C91" s="11"/>
      <c r="D91" s="11"/>
      <c r="E91" s="11"/>
      <c r="F91" s="162"/>
      <c r="G91" s="17"/>
      <c r="H91" s="726"/>
      <c r="I91" s="11"/>
      <c r="J91" s="11"/>
      <c r="K91" s="11"/>
      <c r="L91" s="162"/>
      <c r="M91" s="17"/>
      <c r="N91" s="263"/>
      <c r="O91" s="14"/>
      <c r="P91" s="14"/>
      <c r="Q91" s="14"/>
      <c r="R91" s="14"/>
      <c r="S91" s="14"/>
    </row>
    <row r="92" spans="1:19" x14ac:dyDescent="0.25">
      <c r="B92" s="10"/>
      <c r="C92" s="712" t="s">
        <v>239</v>
      </c>
      <c r="D92" s="713"/>
      <c r="E92" s="713"/>
      <c r="F92" s="713"/>
      <c r="G92" s="714"/>
      <c r="H92" s="11"/>
      <c r="I92" s="712" t="s">
        <v>240</v>
      </c>
      <c r="J92" s="713"/>
      <c r="K92" s="713"/>
      <c r="L92" s="713"/>
      <c r="M92" s="714"/>
      <c r="N92" s="20"/>
    </row>
    <row r="93" spans="1:19" x14ac:dyDescent="0.25">
      <c r="B93" s="10"/>
      <c r="C93" s="724" t="s">
        <v>64</v>
      </c>
      <c r="D93" s="725"/>
      <c r="E93" s="725"/>
      <c r="F93" s="716"/>
      <c r="G93" s="717"/>
      <c r="H93" s="11"/>
      <c r="I93" s="724" t="s">
        <v>64</v>
      </c>
      <c r="J93" s="725"/>
      <c r="K93" s="725"/>
      <c r="L93" s="716"/>
      <c r="M93" s="717"/>
      <c r="N93" s="20"/>
    </row>
    <row r="94" spans="1:19" x14ac:dyDescent="0.25">
      <c r="B94" s="10"/>
      <c r="C94" s="708" t="s">
        <v>3</v>
      </c>
      <c r="D94" s="709"/>
      <c r="E94" s="709"/>
      <c r="F94" s="236" t="s">
        <v>5</v>
      </c>
      <c r="G94" s="28" t="s">
        <v>4</v>
      </c>
      <c r="H94" s="11"/>
      <c r="I94" s="708" t="s">
        <v>3</v>
      </c>
      <c r="J94" s="709"/>
      <c r="K94" s="709"/>
      <c r="L94" s="236" t="s">
        <v>5</v>
      </c>
      <c r="M94" s="28" t="s">
        <v>4</v>
      </c>
      <c r="N94" s="20"/>
    </row>
    <row r="95" spans="1:19" x14ac:dyDescent="0.25">
      <c r="B95" s="10"/>
      <c r="C95" s="10" t="s">
        <v>56</v>
      </c>
      <c r="D95" s="11"/>
      <c r="E95" s="11"/>
      <c r="F95" s="11"/>
      <c r="G95" s="59"/>
      <c r="H95" s="11"/>
      <c r="I95" s="10" t="s">
        <v>56</v>
      </c>
      <c r="J95" s="11"/>
      <c r="K95" s="11"/>
      <c r="L95" s="11"/>
      <c r="M95" s="59"/>
      <c r="N95" s="20"/>
    </row>
    <row r="96" spans="1:19" x14ac:dyDescent="0.25">
      <c r="B96" s="10"/>
      <c r="C96" s="10"/>
      <c r="D96" s="11" t="s">
        <v>65</v>
      </c>
      <c r="E96" s="11"/>
      <c r="F96" s="36">
        <v>2062040</v>
      </c>
      <c r="G96" s="59" t="s">
        <v>372</v>
      </c>
      <c r="H96" s="11"/>
      <c r="I96" s="10"/>
      <c r="J96" s="11" t="s">
        <v>65</v>
      </c>
      <c r="K96" s="11"/>
      <c r="L96" s="36">
        <v>305540</v>
      </c>
      <c r="M96" s="59" t="s">
        <v>372</v>
      </c>
      <c r="N96" s="20"/>
      <c r="O96" s="251"/>
    </row>
    <row r="97" spans="2:14" x14ac:dyDescent="0.25">
      <c r="B97" s="10"/>
      <c r="C97" s="10"/>
      <c r="D97" s="11" t="s">
        <v>427</v>
      </c>
      <c r="E97" s="11"/>
      <c r="F97" s="135">
        <v>1.0200000000000001E-2</v>
      </c>
      <c r="G97" s="59" t="s">
        <v>21</v>
      </c>
      <c r="H97" s="11"/>
      <c r="I97" s="10"/>
      <c r="J97" s="11" t="s">
        <v>98</v>
      </c>
      <c r="K97" s="11"/>
      <c r="L97" s="135">
        <v>1.0200000000000001E-2</v>
      </c>
      <c r="M97" s="59" t="s">
        <v>21</v>
      </c>
      <c r="N97" s="20"/>
    </row>
    <row r="98" spans="2:14" x14ac:dyDescent="0.25">
      <c r="B98" s="10"/>
      <c r="C98" s="26"/>
      <c r="D98" s="29"/>
      <c r="E98" s="29"/>
      <c r="F98" s="29"/>
      <c r="G98" s="78"/>
      <c r="H98" s="11"/>
      <c r="I98" s="26"/>
      <c r="J98" s="29"/>
      <c r="K98" s="29"/>
      <c r="L98" s="29"/>
      <c r="M98" s="78"/>
      <c r="N98" s="20"/>
    </row>
    <row r="99" spans="2:14" x14ac:dyDescent="0.25">
      <c r="B99" s="10"/>
      <c r="C99" s="718" t="s">
        <v>100</v>
      </c>
      <c r="D99" s="719"/>
      <c r="E99" s="719"/>
      <c r="F99" s="719"/>
      <c r="G99" s="720"/>
      <c r="H99" s="11"/>
      <c r="I99" s="718" t="s">
        <v>100</v>
      </c>
      <c r="J99" s="719"/>
      <c r="K99" s="719"/>
      <c r="L99" s="719"/>
      <c r="M99" s="720"/>
      <c r="N99" s="20"/>
    </row>
    <row r="100" spans="2:14" outlineLevel="1" x14ac:dyDescent="0.25">
      <c r="B100" s="10"/>
      <c r="C100" s="708" t="s">
        <v>3</v>
      </c>
      <c r="D100" s="709"/>
      <c r="E100" s="709"/>
      <c r="F100" s="236" t="s">
        <v>5</v>
      </c>
      <c r="G100" s="28" t="s">
        <v>4</v>
      </c>
      <c r="H100" s="11"/>
      <c r="I100" s="708" t="s">
        <v>3</v>
      </c>
      <c r="J100" s="709"/>
      <c r="K100" s="709"/>
      <c r="L100" s="236" t="s">
        <v>5</v>
      </c>
      <c r="M100" s="28" t="s">
        <v>4</v>
      </c>
      <c r="N100" s="20"/>
    </row>
    <row r="101" spans="2:14" outlineLevel="1" x14ac:dyDescent="0.25">
      <c r="B101" s="10"/>
      <c r="C101" s="10" t="s">
        <v>57</v>
      </c>
      <c r="D101" s="11"/>
      <c r="E101" s="11"/>
      <c r="F101" s="11"/>
      <c r="G101" s="59"/>
      <c r="H101" s="11"/>
      <c r="I101" s="10" t="s">
        <v>57</v>
      </c>
      <c r="J101" s="11"/>
      <c r="K101" s="11"/>
      <c r="L101" s="11"/>
      <c r="M101" s="59"/>
      <c r="N101" s="20"/>
    </row>
    <row r="102" spans="2:14" outlineLevel="1" x14ac:dyDescent="0.25">
      <c r="B102" s="10"/>
      <c r="C102" s="10"/>
      <c r="D102" s="11" t="s">
        <v>68</v>
      </c>
      <c r="E102" s="11"/>
      <c r="F102" s="36">
        <v>65559</v>
      </c>
      <c r="G102" s="59" t="s">
        <v>372</v>
      </c>
      <c r="H102" s="11"/>
      <c r="I102" s="10"/>
      <c r="J102" s="11" t="s">
        <v>68</v>
      </c>
      <c r="K102" s="11"/>
      <c r="L102" s="36">
        <v>5714</v>
      </c>
      <c r="M102" s="59" t="s">
        <v>372</v>
      </c>
      <c r="N102" s="20"/>
    </row>
    <row r="103" spans="2:14" outlineLevel="1" x14ac:dyDescent="0.25">
      <c r="B103" s="10"/>
      <c r="C103" s="10"/>
      <c r="D103" s="11" t="s">
        <v>99</v>
      </c>
      <c r="E103" s="11"/>
      <c r="F103" s="134">
        <v>0.01</v>
      </c>
      <c r="G103" s="59" t="s">
        <v>21</v>
      </c>
      <c r="H103" s="11"/>
      <c r="I103" s="10"/>
      <c r="J103" s="11" t="s">
        <v>99</v>
      </c>
      <c r="K103" s="11"/>
      <c r="L103" s="134">
        <v>0.114</v>
      </c>
      <c r="M103" s="59" t="s">
        <v>21</v>
      </c>
      <c r="N103" s="20"/>
    </row>
    <row r="104" spans="2:14" outlineLevel="1" x14ac:dyDescent="0.25">
      <c r="B104" s="10"/>
      <c r="C104" s="26"/>
      <c r="D104" s="29"/>
      <c r="E104" s="29"/>
      <c r="F104" s="27"/>
      <c r="G104" s="78"/>
      <c r="H104" s="11"/>
      <c r="I104" s="26"/>
      <c r="J104" s="29"/>
      <c r="K104" s="29"/>
      <c r="L104" s="27"/>
      <c r="M104" s="78"/>
      <c r="N104" s="20"/>
    </row>
    <row r="105" spans="2:14" x14ac:dyDescent="0.25">
      <c r="B105" s="10"/>
      <c r="C105" s="718" t="s">
        <v>233</v>
      </c>
      <c r="D105" s="719"/>
      <c r="E105" s="719"/>
      <c r="F105" s="719"/>
      <c r="G105" s="720"/>
      <c r="H105" s="11"/>
      <c r="I105" s="718" t="s">
        <v>233</v>
      </c>
      <c r="J105" s="719"/>
      <c r="K105" s="719"/>
      <c r="L105" s="719"/>
      <c r="M105" s="720"/>
      <c r="N105" s="20"/>
    </row>
    <row r="106" spans="2:14" hidden="1" outlineLevel="1" x14ac:dyDescent="0.25">
      <c r="B106" s="10"/>
      <c r="C106" s="708" t="s">
        <v>3</v>
      </c>
      <c r="D106" s="709"/>
      <c r="E106" s="709"/>
      <c r="F106" s="236" t="s">
        <v>5</v>
      </c>
      <c r="G106" s="28" t="s">
        <v>4</v>
      </c>
      <c r="H106" s="11"/>
      <c r="I106" s="708" t="s">
        <v>3</v>
      </c>
      <c r="J106" s="709"/>
      <c r="K106" s="709"/>
      <c r="L106" s="236" t="s">
        <v>5</v>
      </c>
      <c r="M106" s="28" t="s">
        <v>4</v>
      </c>
      <c r="N106" s="20"/>
    </row>
    <row r="107" spans="2:14" hidden="1" outlineLevel="1" x14ac:dyDescent="0.25">
      <c r="B107" s="10"/>
      <c r="C107" s="104" t="s">
        <v>231</v>
      </c>
      <c r="D107" s="230"/>
      <c r="E107" s="230"/>
      <c r="F107" s="230"/>
      <c r="G107" s="147"/>
      <c r="H107" s="11"/>
      <c r="I107" s="104" t="s">
        <v>231</v>
      </c>
      <c r="J107" s="230"/>
      <c r="K107" s="230"/>
      <c r="L107" s="230"/>
      <c r="M107" s="147"/>
      <c r="N107" s="20"/>
    </row>
    <row r="108" spans="2:14" hidden="1" outlineLevel="1" x14ac:dyDescent="0.25">
      <c r="B108" s="10"/>
      <c r="C108" s="10"/>
      <c r="D108" s="11" t="s">
        <v>234</v>
      </c>
      <c r="E108" s="11"/>
      <c r="F108" s="36">
        <v>0</v>
      </c>
      <c r="G108" s="59" t="s">
        <v>241</v>
      </c>
      <c r="H108" s="11"/>
      <c r="I108" s="10"/>
      <c r="J108" s="11" t="s">
        <v>234</v>
      </c>
      <c r="K108" s="11"/>
      <c r="L108" s="36">
        <v>0</v>
      </c>
      <c r="M108" s="59" t="s">
        <v>241</v>
      </c>
      <c r="N108" s="20"/>
    </row>
    <row r="109" spans="2:14" hidden="1" outlineLevel="1" x14ac:dyDescent="0.25">
      <c r="B109" s="10"/>
      <c r="C109" s="26"/>
      <c r="D109" s="29"/>
      <c r="E109" s="29"/>
      <c r="F109" s="29"/>
      <c r="G109" s="78"/>
      <c r="H109" s="11"/>
      <c r="I109" s="26"/>
      <c r="J109" s="29"/>
      <c r="K109" s="29"/>
      <c r="L109" s="29"/>
      <c r="M109" s="78"/>
      <c r="N109" s="20"/>
    </row>
    <row r="110" spans="2:14" collapsed="1" x14ac:dyDescent="0.25">
      <c r="B110" s="26"/>
      <c r="C110" s="264"/>
      <c r="D110" s="264"/>
      <c r="E110" s="264"/>
      <c r="F110" s="264"/>
      <c r="G110" s="265"/>
      <c r="H110" s="29"/>
      <c r="I110" s="29"/>
      <c r="J110" s="29"/>
      <c r="K110" s="29"/>
      <c r="L110" s="29"/>
      <c r="M110" s="29"/>
      <c r="N110" s="30"/>
    </row>
    <row r="111" spans="2:14" x14ac:dyDescent="0.25">
      <c r="B111" s="151"/>
      <c r="C111" s="151"/>
      <c r="D111" s="151"/>
      <c r="E111" s="151"/>
      <c r="F111" s="151"/>
      <c r="G111" s="124"/>
      <c r="H111" s="151"/>
    </row>
  </sheetData>
  <customSheetViews>
    <customSheetView guid="{447083F4-BDC7-8B4E-AE38-EA87A68C242D}">
      <selection activeCell="B5" sqref="B5:C5"/>
      <pageMargins left="0.7" right="0.7" top="0.75" bottom="0.75" header="0.3" footer="0.3"/>
      <pageSetup orientation="portrait" horizontalDpi="4294967292" verticalDpi="4294967292"/>
      <headerFooter alignWithMargins="0"/>
    </customSheetView>
  </customSheetViews>
  <mergeCells count="49">
    <mergeCell ref="I105:M105"/>
    <mergeCell ref="I106:K106"/>
    <mergeCell ref="H32:H33"/>
    <mergeCell ref="C34:G34"/>
    <mergeCell ref="C5:G5"/>
    <mergeCell ref="C6:E6"/>
    <mergeCell ref="C62:G62"/>
    <mergeCell ref="C35:G35"/>
    <mergeCell ref="C105:G105"/>
    <mergeCell ref="C106:E106"/>
    <mergeCell ref="C67:G67"/>
    <mergeCell ref="C93:G93"/>
    <mergeCell ref="C92:G92"/>
    <mergeCell ref="C100:E100"/>
    <mergeCell ref="C99:G99"/>
    <mergeCell ref="C94:E94"/>
    <mergeCell ref="C68:E68"/>
    <mergeCell ref="C80:G80"/>
    <mergeCell ref="B2:N2"/>
    <mergeCell ref="I92:M92"/>
    <mergeCell ref="I93:M93"/>
    <mergeCell ref="C63:E63"/>
    <mergeCell ref="H90:H91"/>
    <mergeCell ref="I94:K94"/>
    <mergeCell ref="I99:M99"/>
    <mergeCell ref="I56:K56"/>
    <mergeCell ref="I36:K36"/>
    <mergeCell ref="I62:M62"/>
    <mergeCell ref="I63:K63"/>
    <mergeCell ref="I67:M67"/>
    <mergeCell ref="I68:K68"/>
    <mergeCell ref="I80:M80"/>
    <mergeCell ref="I81:K81"/>
    <mergeCell ref="I100:K100"/>
    <mergeCell ref="C81:E81"/>
    <mergeCell ref="C36:E36"/>
    <mergeCell ref="C4:G4"/>
    <mergeCell ref="I4:M4"/>
    <mergeCell ref="I5:M5"/>
    <mergeCell ref="I6:K6"/>
    <mergeCell ref="I34:M34"/>
    <mergeCell ref="I35:M35"/>
    <mergeCell ref="C48:G48"/>
    <mergeCell ref="C49:E49"/>
    <mergeCell ref="I48:M48"/>
    <mergeCell ref="I49:K49"/>
    <mergeCell ref="C55:G55"/>
    <mergeCell ref="C56:E56"/>
    <mergeCell ref="I55:M55"/>
  </mergeCells>
  <conditionalFormatting sqref="F41:F42">
    <cfRule type="expression" dxfId="15" priority="22">
      <formula>$F$40</formula>
    </cfRule>
  </conditionalFormatting>
  <conditionalFormatting sqref="F51:F53">
    <cfRule type="expression" dxfId="14" priority="11">
      <formula>$F$50</formula>
    </cfRule>
  </conditionalFormatting>
  <conditionalFormatting sqref="L51:L53">
    <cfRule type="expression" dxfId="13" priority="10">
      <formula>$L$50</formula>
    </cfRule>
  </conditionalFormatting>
  <conditionalFormatting sqref="F50">
    <cfRule type="expression" dxfId="12" priority="9">
      <formula>$F$51</formula>
    </cfRule>
  </conditionalFormatting>
  <conditionalFormatting sqref="L50">
    <cfRule type="expression" dxfId="11" priority="8">
      <formula>$L$51</formula>
    </cfRule>
  </conditionalFormatting>
  <conditionalFormatting sqref="F57:F58">
    <cfRule type="expression" dxfId="10" priority="3">
      <formula>$F$59</formula>
    </cfRule>
  </conditionalFormatting>
  <conditionalFormatting sqref="L57:L58">
    <cfRule type="expression" dxfId="9" priority="2">
      <formula>$L$59</formula>
    </cfRule>
  </conditionalFormatting>
  <conditionalFormatting sqref="F59:F60 F57">
    <cfRule type="expression" dxfId="8" priority="23">
      <formula>$F$58</formula>
    </cfRule>
  </conditionalFormatting>
  <conditionalFormatting sqref="L59:L60 L57">
    <cfRule type="expression" dxfId="7" priority="24">
      <formula>$L$58</formula>
    </cfRule>
  </conditionalFormatting>
  <conditionalFormatting sqref="F58:F60">
    <cfRule type="expression" dxfId="6" priority="25">
      <formula>$F$57</formula>
    </cfRule>
  </conditionalFormatting>
  <conditionalFormatting sqref="L58:L60">
    <cfRule type="expression" dxfId="5" priority="27">
      <formula>$L$57</formula>
    </cfRule>
  </conditionalFormatting>
  <conditionalFormatting sqref="L41:L42">
    <cfRule type="expression" dxfId="4" priority="1">
      <formula>$L$40</formula>
    </cfRule>
  </conditionalFormatting>
  <dataValidations xWindow="346" yWindow="352" count="35">
    <dataValidation type="whole" allowBlank="1" showInputMessage="1" showErrorMessage="1" promptTitle="Program Lifetime" prompt="The number of years the program will run (i.e. continue intstalling new measures)" sqref="F23 L23">
      <formula1>1</formula1>
      <formula2>10</formula2>
    </dataValidation>
    <dataValidation allowBlank="1" showInputMessage="1" showErrorMessage="1" promptTitle="Average Change in Cost" prompt="The average year-to-year change in the annual cost of the program over the lifetime of the program" sqref="F22 F20 L22 L20"/>
    <dataValidation allowBlank="1" showInputMessage="1" showErrorMessage="1" promptTitle="Program Cost Recovery Allowed" prompt="Is recovery of program cost allowed as a rate?" sqref="F50 L50"/>
    <dataValidation type="decimal" allowBlank="1" showInputMessage="1" showErrorMessage="1" promptTitle="Average Change in Sales" prompt="The average projected annual growth of sales" sqref="F14 F12 L12 L14">
      <formula1>0</formula1>
      <formula2>1</formula2>
    </dataValidation>
    <dataValidation allowBlank="1" showInputMessage="1" showErrorMessage="1" promptTitle="Sales in Y0" prompt="The number of sales in year zero, the most recent year with available data before the implementation of the EE program" sqref="F11 L13 F13 L11"/>
    <dataValidation type="decimal" operator="greaterThanOrEqual" allowBlank="1" showInputMessage="1" showErrorMessage="1" promptTitle="Average Variable Cost Rate" prompt="The amount of the average rate that is devoted to paying for variables costs in year zero, the most recent year with available data before the implementation of the EE program" sqref="F41">
      <formula1>0</formula1>
    </dataValidation>
    <dataValidation type="decimal" operator="greaterThanOrEqual" allowBlank="1" showInputMessage="1" showErrorMessage="1" promptTitle="Average Rate" prompt="The average rate for customers in year zero, the most recent year with available data before the implementation of the EE program" sqref="F38">
      <formula1>0</formula1>
    </dataValidation>
    <dataValidation allowBlank="1" showInputMessage="1" showErrorMessage="1" promptTitle="Energy Saved in Y1" prompt="The total amount of energy saved by the EE program in its first year" sqref="F25 L25 F27"/>
    <dataValidation allowBlank="1" showInputMessage="1" showErrorMessage="1" promptTitle="Average Change in Savings" prompt="The average year-to-year change in the annual energy saved over the lifetime of the program" sqref="L26:L28 F26 F28"/>
    <dataValidation allowBlank="1" showInputMessage="1" showErrorMessage="1" promptTitle="Average Measure Lifetime" prompt="The average lifetime of the measures installed by the program, weighted by savings" sqref="F29 L29"/>
    <dataValidation allowBlank="1" showInputMessage="1" showErrorMessage="1" promptTitle="Customers in Y0" prompt="The number of customers in year zero, the most recent year with available data before the implementation of the EE program" sqref="F96 L96"/>
    <dataValidation allowBlank="1" showInputMessage="1" showErrorMessage="1" promptTitle="Participants in Y1" prompt="The number of participants in the program in its first year" sqref="F102 L102"/>
    <dataValidation type="decimal" allowBlank="1" showInputMessage="1" showErrorMessage="1" promptTitle="Participant Growth Rate" prompt="The average year-to-year change in the number of participants over the lifetime of the program" sqref="F103 L103">
      <formula1>0</formula1>
      <formula2>1</formula2>
    </dataValidation>
    <dataValidation allowBlank="1" showInputMessage="1" showErrorMessage="1" promptTitle="Average Change in Customers" prompt="The average projected annual change of customers" sqref="F97 L97"/>
    <dataValidation allowBlank="1" showInputMessage="1" showErrorMessage="1" promptTitle="Discount Rate" prompt="The amount to discount money for each year it is projected in the future" sqref="F64 F66 L64"/>
    <dataValidation allowBlank="1" showInputMessage="1" showErrorMessage="1" promptTitle="Average Measure Efficiency Decay" prompt="The average amount of efficiency savings that decay from year-to-year for all measures in the program" sqref="F30 L30"/>
    <dataValidation allowBlank="1" showInputMessage="1" showErrorMessage="1" promptTitle="Peak Duration" prompt="The number of hours considered peak hours during each year by the utility" sqref="F70"/>
    <dataValidation allowBlank="1" showInputMessage="1" showErrorMessage="1" promptTitle="On-Peak Average Capacity in Y0" prompt="The average amount of capacity used during on-peak hours in year zero, the most recent year with available data before the implementation of the EE program" sqref="F71 L71"/>
    <dataValidation allowBlank="1" showInputMessage="1" showErrorMessage="1" promptTitle="Percent of Savings On-Peak" prompt="The percent of savings from the EE program that occur during peak hours" sqref="F72 L72"/>
    <dataValidation allowBlank="1" showInputMessage="1" showErrorMessage="1" promptTitle="On-Peak Average Fuel Cost" prompt="The average cost of fuel during peak hours" sqref="F75 A81"/>
    <dataValidation allowBlank="1" showInputMessage="1" showErrorMessage="1" promptTitle="Off-Peak Average Fuel Cost" prompt="The average cost of fuel during off-peak hours" sqref="F77 A83"/>
    <dataValidation allowBlank="1" showInputMessage="1" showErrorMessage="1" promptTitle="On-Peak Avg Marginal Fuel Cost" prompt="The average marginal cost of fuel during peak hours" sqref="F76 A82"/>
    <dataValidation allowBlank="1" showInputMessage="1" showErrorMessage="1" promptTitle="Off-Peak Avg Marginal Fuel Cost" prompt="The average marginal cost of fuel during off-peak hours" sqref="F78 A84"/>
    <dataValidation allowBlank="1" showInputMessage="1" showErrorMessage="1" promptTitle="T&amp;D Loss" prompt="The amount of energy that is lost in delivery to customers" sqref="F65 L65"/>
    <dataValidation type="decimal" allowBlank="1" showInputMessage="1" showErrorMessage="1" sqref="F15 L15">
      <formula1>0</formula1>
      <formula2>1</formula2>
    </dataValidation>
    <dataValidation allowBlank="1" showInputMessage="1" showErrorMessage="1" promptTitle="Average Change in Energy Cost" prompt="The average projected annual growth of energy costs" sqref="F42"/>
    <dataValidation allowBlank="1" showInputMessage="1" showErrorMessage="1" promptTitle="Year Zero - Y0" prompt="The year before the energy efficiency program is to be implemented" sqref="F7"/>
    <dataValidation allowBlank="1" showInputMessage="1" showErrorMessage="1" promptTitle="Lost Revenue Recovery" prompt="Is the recovery of lost revenues to cover fixed costs allowed?" sqref="L57 F57"/>
    <dataValidation type="decimal" operator="greaterThanOrEqual" allowBlank="1" showInputMessage="1" showErrorMessage="1" sqref="L39 F39 L41">
      <formula1>0</formula1>
    </dataValidation>
    <dataValidation type="decimal" operator="greaterThanOrEqual" allowBlank="1" showInputMessage="1" showErrorMessage="1" promptTitle="Utility RR for Variable Rate" prompt="Should utility reveue requiremente be directly used to calculate the variable rate or should the growth rate be used with the Y0 rate entered below" sqref="F40 L40">
      <formula1>0</formula1>
    </dataValidation>
    <dataValidation allowBlank="1" showInputMessage="1" showErrorMessage="1" promptTitle="Utility RR for Fixed Rate" prompt="Should utility reveue requiremente be directly used to calculate the fixed rate or should the growth rate of the utility revenue requirement be used with the Y0 rate entered below" sqref="F44 L44"/>
    <dataValidation allowBlank="1" showInputMessage="1" showErrorMessage="1" promptTitle="Rate Class Share of Fixed Cost" prompt="The proportion of the fixed costs of the utility that this rate class pays for" sqref="F45"/>
    <dataValidation allowBlank="1" showInputMessage="1" showErrorMessage="1" promptTitle="Participant Avg Use Difference" prompt="The difference in the average use between participants in the program and all customers" sqref="F108 L108"/>
    <dataValidation type="decimal" operator="greaterThanOrEqual" allowBlank="1" showInputMessage="1" showErrorMessage="1" promptTitle="Average Volumetric Rate" prompt="The average volumetric (kWh) rate for customers in year zero, the most recent year with available data before the implementation of the EE program" sqref="L38">
      <formula1>0</formula1>
    </dataValidation>
    <dataValidation type="decimal" operator="greaterThanOrEqual" allowBlank="1" showInputMessage="1" showErrorMessage="1" promptTitle="Average Demand Rate" prompt="The average demand (kW) rate for customers in year zero, the most recent year with available data before the implementation of the EE program" sqref="L46">
      <formula1>0</formula1>
    </dataValidation>
  </dataValidation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CQ232"/>
  <sheetViews>
    <sheetView zoomScale="90" zoomScaleNormal="90" zoomScalePageLayoutView="90" workbookViewId="0"/>
  </sheetViews>
  <sheetFormatPr defaultColWidth="11" defaultRowHeight="15.75" outlineLevelRow="1" outlineLevelCol="1" x14ac:dyDescent="0.25"/>
  <cols>
    <col min="1" max="1" width="1.875" customWidth="1"/>
    <col min="2" max="4" width="1.875" customWidth="1" outlineLevel="1"/>
    <col min="5" max="5" width="40.375" customWidth="1" outlineLevel="1"/>
    <col min="6" max="6" width="11.125" customWidth="1" outlineLevel="1"/>
    <col min="7" max="32" width="16.875" customWidth="1" outlineLevel="1"/>
    <col min="33" max="33" width="2.5" customWidth="1"/>
    <col min="34" max="36" width="1.875" customWidth="1" outlineLevel="1"/>
    <col min="37" max="37" width="45" customWidth="1" outlineLevel="1"/>
    <col min="38" max="38" width="10" customWidth="1" outlineLevel="1"/>
    <col min="39" max="64" width="16.875" customWidth="1" outlineLevel="1"/>
    <col min="65" max="65" width="2.5" customWidth="1"/>
    <col min="66" max="67" width="1.875" customWidth="1"/>
    <col min="68" max="68" width="31.125" customWidth="1"/>
    <col min="69" max="69" width="10.875" customWidth="1"/>
    <col min="70" max="95" width="16.875" customWidth="1"/>
  </cols>
  <sheetData>
    <row r="1" spans="2:95" x14ac:dyDescent="0.25">
      <c r="G1" s="703"/>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M1" s="488"/>
      <c r="AN1" s="36"/>
      <c r="AO1" s="36"/>
      <c r="AP1" s="36"/>
      <c r="AQ1" s="36"/>
      <c r="AR1" s="36"/>
      <c r="AS1" s="36"/>
      <c r="AT1" s="36"/>
      <c r="AU1" s="36"/>
      <c r="AV1" s="36"/>
      <c r="AW1" s="36"/>
    </row>
    <row r="2" spans="2:95" x14ac:dyDescent="0.25">
      <c r="B2" s="731" t="s">
        <v>248</v>
      </c>
      <c r="C2" s="731"/>
      <c r="D2" s="731"/>
      <c r="E2" s="731"/>
      <c r="F2" s="131"/>
      <c r="G2" s="703"/>
      <c r="H2" s="702"/>
      <c r="I2" s="702"/>
      <c r="J2" s="702"/>
      <c r="K2" s="702"/>
      <c r="L2" s="702"/>
      <c r="M2" s="702"/>
      <c r="N2" s="702"/>
      <c r="O2" s="702"/>
      <c r="P2" s="702"/>
      <c r="Q2" s="702"/>
      <c r="AH2" s="731" t="s">
        <v>249</v>
      </c>
      <c r="AI2" s="731"/>
      <c r="AJ2" s="731"/>
      <c r="AK2" s="731"/>
      <c r="AL2" s="131"/>
      <c r="AM2" s="488"/>
      <c r="AN2" s="36"/>
      <c r="AO2" s="36"/>
      <c r="AP2" s="36"/>
      <c r="AQ2" s="36"/>
      <c r="AR2" s="36"/>
      <c r="AS2" s="36"/>
      <c r="AT2" s="36"/>
      <c r="AU2" s="36"/>
      <c r="AV2" s="36"/>
      <c r="AW2" s="36"/>
      <c r="BN2" s="49" t="s">
        <v>447</v>
      </c>
    </row>
    <row r="3" spans="2:95" x14ac:dyDescent="0.25">
      <c r="B3" s="89"/>
      <c r="C3" s="89"/>
      <c r="D3" s="89"/>
      <c r="E3" s="89"/>
      <c r="F3" s="89"/>
      <c r="AH3" s="89"/>
      <c r="AI3" s="89"/>
      <c r="AJ3" s="89"/>
      <c r="AK3" s="89"/>
      <c r="AL3" s="89"/>
      <c r="BN3" s="49"/>
    </row>
    <row r="4" spans="2:95" x14ac:dyDescent="0.25">
      <c r="B4" s="732" t="s">
        <v>89</v>
      </c>
      <c r="C4" s="733"/>
      <c r="D4" s="733"/>
      <c r="E4" s="733"/>
      <c r="F4" s="733"/>
      <c r="G4" s="733"/>
      <c r="H4" s="733"/>
      <c r="I4" s="733"/>
      <c r="J4" s="733"/>
      <c r="K4" s="733"/>
      <c r="L4" s="733"/>
      <c r="M4" s="215"/>
      <c r="N4" s="215"/>
      <c r="O4" s="215"/>
      <c r="P4" s="215"/>
      <c r="Q4" s="216"/>
      <c r="AH4" s="732" t="s">
        <v>89</v>
      </c>
      <c r="AI4" s="733"/>
      <c r="AJ4" s="733"/>
      <c r="AK4" s="733"/>
      <c r="AL4" s="733"/>
      <c r="AM4" s="733"/>
      <c r="AN4" s="733"/>
      <c r="AO4" s="733"/>
      <c r="AP4" s="733"/>
      <c r="AQ4" s="733"/>
      <c r="AR4" s="733"/>
      <c r="AS4" s="215"/>
      <c r="AT4" s="215"/>
      <c r="AU4" s="215"/>
      <c r="AV4" s="215"/>
      <c r="AW4" s="216"/>
      <c r="BN4" s="49" t="s">
        <v>448</v>
      </c>
    </row>
    <row r="5" spans="2:95" x14ac:dyDescent="0.25">
      <c r="B5" s="734" t="s">
        <v>3</v>
      </c>
      <c r="C5" s="735"/>
      <c r="D5" s="735"/>
      <c r="E5" s="735"/>
      <c r="F5" s="735" t="s">
        <v>4</v>
      </c>
      <c r="G5" s="74" t="s">
        <v>24</v>
      </c>
      <c r="H5" s="74" t="s">
        <v>0</v>
      </c>
      <c r="I5" s="74" t="s">
        <v>1</v>
      </c>
      <c r="J5" s="74" t="s">
        <v>9</v>
      </c>
      <c r="K5" s="74" t="s">
        <v>10</v>
      </c>
      <c r="L5" s="74" t="s">
        <v>11</v>
      </c>
      <c r="M5" s="74" t="s">
        <v>12</v>
      </c>
      <c r="N5" s="74" t="s">
        <v>13</v>
      </c>
      <c r="O5" s="74" t="s">
        <v>14</v>
      </c>
      <c r="P5" s="74" t="s">
        <v>15</v>
      </c>
      <c r="Q5" s="74" t="s">
        <v>16</v>
      </c>
      <c r="R5" s="74" t="s">
        <v>39</v>
      </c>
      <c r="S5" s="74" t="s">
        <v>41</v>
      </c>
      <c r="T5" s="74" t="s">
        <v>42</v>
      </c>
      <c r="U5" s="74" t="s">
        <v>43</v>
      </c>
      <c r="V5" s="74" t="s">
        <v>44</v>
      </c>
      <c r="W5" s="74" t="s">
        <v>45</v>
      </c>
      <c r="X5" s="74" t="s">
        <v>46</v>
      </c>
      <c r="Y5" s="74" t="s">
        <v>47</v>
      </c>
      <c r="Z5" s="74" t="s">
        <v>48</v>
      </c>
      <c r="AA5" s="74" t="s">
        <v>49</v>
      </c>
      <c r="AB5" s="74" t="s">
        <v>50</v>
      </c>
      <c r="AC5" s="74" t="s">
        <v>51</v>
      </c>
      <c r="AD5" s="74" t="s">
        <v>52</v>
      </c>
      <c r="AE5" s="74" t="s">
        <v>53</v>
      </c>
      <c r="AF5" s="75" t="s">
        <v>54</v>
      </c>
      <c r="AH5" s="734" t="s">
        <v>3</v>
      </c>
      <c r="AI5" s="735"/>
      <c r="AJ5" s="735"/>
      <c r="AK5" s="735"/>
      <c r="AL5" s="735" t="s">
        <v>4</v>
      </c>
      <c r="AM5" s="74" t="s">
        <v>24</v>
      </c>
      <c r="AN5" s="74" t="s">
        <v>0</v>
      </c>
      <c r="AO5" s="74" t="s">
        <v>1</v>
      </c>
      <c r="AP5" s="74" t="s">
        <v>9</v>
      </c>
      <c r="AQ5" s="74" t="s">
        <v>10</v>
      </c>
      <c r="AR5" s="74" t="s">
        <v>11</v>
      </c>
      <c r="AS5" s="74" t="s">
        <v>12</v>
      </c>
      <c r="AT5" s="74" t="s">
        <v>13</v>
      </c>
      <c r="AU5" s="74" t="s">
        <v>14</v>
      </c>
      <c r="AV5" s="74" t="s">
        <v>15</v>
      </c>
      <c r="AW5" s="74" t="s">
        <v>16</v>
      </c>
      <c r="AX5" s="74" t="s">
        <v>39</v>
      </c>
      <c r="AY5" s="74" t="s">
        <v>41</v>
      </c>
      <c r="AZ5" s="74" t="s">
        <v>42</v>
      </c>
      <c r="BA5" s="74" t="s">
        <v>43</v>
      </c>
      <c r="BB5" s="74" t="s">
        <v>44</v>
      </c>
      <c r="BC5" s="74" t="s">
        <v>45</v>
      </c>
      <c r="BD5" s="74" t="s">
        <v>46</v>
      </c>
      <c r="BE5" s="74" t="s">
        <v>47</v>
      </c>
      <c r="BF5" s="74" t="s">
        <v>48</v>
      </c>
      <c r="BG5" s="74" t="s">
        <v>49</v>
      </c>
      <c r="BH5" s="74" t="s">
        <v>50</v>
      </c>
      <c r="BI5" s="74" t="s">
        <v>51</v>
      </c>
      <c r="BJ5" s="74" t="s">
        <v>52</v>
      </c>
      <c r="BK5" s="74" t="s">
        <v>53</v>
      </c>
      <c r="BL5" s="75" t="s">
        <v>54</v>
      </c>
      <c r="BN5" s="734" t="s">
        <v>3</v>
      </c>
      <c r="BO5" s="735"/>
      <c r="BP5" s="735"/>
      <c r="BQ5" s="735" t="s">
        <v>4</v>
      </c>
      <c r="BR5" s="74" t="s">
        <v>24</v>
      </c>
      <c r="BS5" s="74" t="s">
        <v>0</v>
      </c>
      <c r="BT5" s="74" t="s">
        <v>1</v>
      </c>
      <c r="BU5" s="74" t="s">
        <v>9</v>
      </c>
      <c r="BV5" s="74" t="s">
        <v>10</v>
      </c>
      <c r="BW5" s="74" t="s">
        <v>11</v>
      </c>
      <c r="BX5" s="74" t="s">
        <v>12</v>
      </c>
      <c r="BY5" s="74" t="s">
        <v>13</v>
      </c>
      <c r="BZ5" s="74" t="s">
        <v>14</v>
      </c>
      <c r="CA5" s="74" t="s">
        <v>15</v>
      </c>
      <c r="CB5" s="74" t="s">
        <v>16</v>
      </c>
      <c r="CC5" s="74" t="s">
        <v>39</v>
      </c>
      <c r="CD5" s="74" t="s">
        <v>41</v>
      </c>
      <c r="CE5" s="74" t="s">
        <v>42</v>
      </c>
      <c r="CF5" s="74" t="s">
        <v>43</v>
      </c>
      <c r="CG5" s="74" t="s">
        <v>44</v>
      </c>
      <c r="CH5" s="74" t="s">
        <v>45</v>
      </c>
      <c r="CI5" s="74" t="s">
        <v>46</v>
      </c>
      <c r="CJ5" s="74" t="s">
        <v>47</v>
      </c>
      <c r="CK5" s="74" t="s">
        <v>48</v>
      </c>
      <c r="CL5" s="74" t="s">
        <v>49</v>
      </c>
      <c r="CM5" s="74" t="s">
        <v>50</v>
      </c>
      <c r="CN5" s="74" t="s">
        <v>51</v>
      </c>
      <c r="CO5" s="74" t="s">
        <v>52</v>
      </c>
      <c r="CP5" s="74" t="s">
        <v>53</v>
      </c>
      <c r="CQ5" s="75" t="s">
        <v>54</v>
      </c>
    </row>
    <row r="6" spans="2:95" x14ac:dyDescent="0.25">
      <c r="B6" s="736"/>
      <c r="C6" s="737"/>
      <c r="D6" s="737"/>
      <c r="E6" s="737"/>
      <c r="F6" s="737"/>
      <c r="G6" s="101">
        <f>'Customer Sector'!$F$7+G15</f>
        <v>2013</v>
      </c>
      <c r="H6" s="101">
        <f>'Customer Sector'!$F$7+H15</f>
        <v>2014</v>
      </c>
      <c r="I6" s="101">
        <f>'Customer Sector'!$F$7+I15</f>
        <v>2015</v>
      </c>
      <c r="J6" s="101">
        <f>'Customer Sector'!$F$7+J15</f>
        <v>2016</v>
      </c>
      <c r="K6" s="101">
        <f>'Customer Sector'!$F$7+K15</f>
        <v>2017</v>
      </c>
      <c r="L6" s="101">
        <f>'Customer Sector'!$F$7+L15</f>
        <v>2018</v>
      </c>
      <c r="M6" s="101">
        <f>'Customer Sector'!$F$7+M15</f>
        <v>2019</v>
      </c>
      <c r="N6" s="101">
        <f>'Customer Sector'!$F$7+N15</f>
        <v>2020</v>
      </c>
      <c r="O6" s="101">
        <f>'Customer Sector'!$F$7+O15</f>
        <v>2021</v>
      </c>
      <c r="P6" s="101">
        <f>'Customer Sector'!$F$7+P15</f>
        <v>2022</v>
      </c>
      <c r="Q6" s="101">
        <f>'Customer Sector'!$F$7+Q15</f>
        <v>2023</v>
      </c>
      <c r="R6" s="101">
        <f>'Customer Sector'!$F$7+R15</f>
        <v>2024</v>
      </c>
      <c r="S6" s="101">
        <f>'Customer Sector'!$F$7+S15</f>
        <v>2025</v>
      </c>
      <c r="T6" s="101">
        <f>'Customer Sector'!$F$7+T15</f>
        <v>2026</v>
      </c>
      <c r="U6" s="101">
        <f>'Customer Sector'!$F$7+U15</f>
        <v>2027</v>
      </c>
      <c r="V6" s="101">
        <f>'Customer Sector'!$F$7+V15</f>
        <v>2028</v>
      </c>
      <c r="W6" s="101">
        <f>'Customer Sector'!$F$7+W15</f>
        <v>2029</v>
      </c>
      <c r="X6" s="101">
        <f>'Customer Sector'!$F$7+X15</f>
        <v>2030</v>
      </c>
      <c r="Y6" s="101">
        <f>'Customer Sector'!$F$7+Y15</f>
        <v>2031</v>
      </c>
      <c r="Z6" s="101">
        <f>'Customer Sector'!$F$7+Z15</f>
        <v>2032</v>
      </c>
      <c r="AA6" s="101">
        <f>'Customer Sector'!$F$7+AA15</f>
        <v>2033</v>
      </c>
      <c r="AB6" s="101">
        <f>'Customer Sector'!$F$7+AB15</f>
        <v>2034</v>
      </c>
      <c r="AC6" s="101">
        <f>'Customer Sector'!$F$7+AC15</f>
        <v>2035</v>
      </c>
      <c r="AD6" s="101">
        <f>'Customer Sector'!$F$7+AD15</f>
        <v>2036</v>
      </c>
      <c r="AE6" s="101">
        <f>'Customer Sector'!$F$7+AE15</f>
        <v>2037</v>
      </c>
      <c r="AF6" s="102">
        <f>'Customer Sector'!$F$7+AF15</f>
        <v>2038</v>
      </c>
      <c r="AH6" s="736"/>
      <c r="AI6" s="737"/>
      <c r="AJ6" s="737"/>
      <c r="AK6" s="737"/>
      <c r="AL6" s="737"/>
      <c r="AM6" s="101">
        <f>'Customer Sector'!$F$7+AM15</f>
        <v>2013</v>
      </c>
      <c r="AN6" s="101">
        <f>'Customer Sector'!$F$7+AN15</f>
        <v>2014</v>
      </c>
      <c r="AO6" s="101">
        <f>'Customer Sector'!$F$7+AO15</f>
        <v>2015</v>
      </c>
      <c r="AP6" s="101">
        <f>'Customer Sector'!$F$7+AP15</f>
        <v>2016</v>
      </c>
      <c r="AQ6" s="101">
        <f>'Customer Sector'!$F$7+AQ15</f>
        <v>2017</v>
      </c>
      <c r="AR6" s="101">
        <f>'Customer Sector'!$F$7+AR15</f>
        <v>2018</v>
      </c>
      <c r="AS6" s="101">
        <f>'Customer Sector'!$F$7+AS15</f>
        <v>2019</v>
      </c>
      <c r="AT6" s="101">
        <f>'Customer Sector'!$F$7+AT15</f>
        <v>2020</v>
      </c>
      <c r="AU6" s="101">
        <f>'Customer Sector'!$F$7+AU15</f>
        <v>2021</v>
      </c>
      <c r="AV6" s="101">
        <f>'Customer Sector'!$F$7+AV15</f>
        <v>2022</v>
      </c>
      <c r="AW6" s="101">
        <f>'Customer Sector'!$F$7+AW15</f>
        <v>2023</v>
      </c>
      <c r="AX6" s="101">
        <f>'Customer Sector'!$F$7+AX15</f>
        <v>2024</v>
      </c>
      <c r="AY6" s="101">
        <f>'Customer Sector'!$F$7+AY15</f>
        <v>2025</v>
      </c>
      <c r="AZ6" s="101">
        <f>'Customer Sector'!$F$7+AZ15</f>
        <v>2026</v>
      </c>
      <c r="BA6" s="101">
        <f>'Customer Sector'!$F$7+BA15</f>
        <v>2027</v>
      </c>
      <c r="BB6" s="101">
        <f>'Customer Sector'!$F$7+BB15</f>
        <v>2028</v>
      </c>
      <c r="BC6" s="101">
        <f>'Customer Sector'!$F$7+BC15</f>
        <v>2029</v>
      </c>
      <c r="BD6" s="101">
        <f>'Customer Sector'!$F$7+BD15</f>
        <v>2030</v>
      </c>
      <c r="BE6" s="101">
        <f>'Customer Sector'!$F$7+BE15</f>
        <v>2031</v>
      </c>
      <c r="BF6" s="101">
        <f>'Customer Sector'!$F$7+BF15</f>
        <v>2032</v>
      </c>
      <c r="BG6" s="101">
        <f>'Customer Sector'!$F$7+BG15</f>
        <v>2033</v>
      </c>
      <c r="BH6" s="101">
        <f>'Customer Sector'!$F$7+BH15</f>
        <v>2034</v>
      </c>
      <c r="BI6" s="101">
        <f>'Customer Sector'!$F$7+BI15</f>
        <v>2035</v>
      </c>
      <c r="BJ6" s="101">
        <f>'Customer Sector'!$F$7+BJ15</f>
        <v>2036</v>
      </c>
      <c r="BK6" s="101">
        <f>'Customer Sector'!$F$7+BK15</f>
        <v>2037</v>
      </c>
      <c r="BL6" s="102">
        <f>'Customer Sector'!$F$7+BL15</f>
        <v>2038</v>
      </c>
      <c r="BN6" s="745"/>
      <c r="BO6" s="744"/>
      <c r="BP6" s="744"/>
      <c r="BQ6" s="744"/>
      <c r="BR6" s="449">
        <f>'Customer Sector'!$F$7+G15</f>
        <v>2013</v>
      </c>
      <c r="BS6" s="449">
        <f>'Customer Sector'!$F$7+H15</f>
        <v>2014</v>
      </c>
      <c r="BT6" s="449">
        <f>'Customer Sector'!$F$7+I15</f>
        <v>2015</v>
      </c>
      <c r="BU6" s="449">
        <f>'Customer Sector'!$F$7+J15</f>
        <v>2016</v>
      </c>
      <c r="BV6" s="449">
        <f>'Customer Sector'!$F$7+K15</f>
        <v>2017</v>
      </c>
      <c r="BW6" s="449">
        <f>'Customer Sector'!$F$7+L15</f>
        <v>2018</v>
      </c>
      <c r="BX6" s="449">
        <f>'Customer Sector'!$F$7+M15</f>
        <v>2019</v>
      </c>
      <c r="BY6" s="449">
        <f>'Customer Sector'!$F$7+N15</f>
        <v>2020</v>
      </c>
      <c r="BZ6" s="449">
        <f>'Customer Sector'!$F$7+O15</f>
        <v>2021</v>
      </c>
      <c r="CA6" s="449">
        <f>'Customer Sector'!$F$7+P15</f>
        <v>2022</v>
      </c>
      <c r="CB6" s="449">
        <f>'Customer Sector'!$F$7+Q15</f>
        <v>2023</v>
      </c>
      <c r="CC6" s="449">
        <f>'Customer Sector'!$F$7+R15</f>
        <v>2024</v>
      </c>
      <c r="CD6" s="449">
        <f>'Customer Sector'!$F$7+S15</f>
        <v>2025</v>
      </c>
      <c r="CE6" s="449">
        <f>'Customer Sector'!$F$7+T15</f>
        <v>2026</v>
      </c>
      <c r="CF6" s="449">
        <f>'Customer Sector'!$F$7+U15</f>
        <v>2027</v>
      </c>
      <c r="CG6" s="449">
        <f>'Customer Sector'!$F$7+V15</f>
        <v>2028</v>
      </c>
      <c r="CH6" s="449">
        <f>'Customer Sector'!$F$7+W15</f>
        <v>2029</v>
      </c>
      <c r="CI6" s="449">
        <f>'Customer Sector'!$F$7+X15</f>
        <v>2030</v>
      </c>
      <c r="CJ6" s="449">
        <f>'Customer Sector'!$F$7+Y15</f>
        <v>2031</v>
      </c>
      <c r="CK6" s="449">
        <f>'Customer Sector'!$F$7+Z15</f>
        <v>2032</v>
      </c>
      <c r="CL6" s="449">
        <f>'Customer Sector'!$F$7+AA15</f>
        <v>2033</v>
      </c>
      <c r="CM6" s="449">
        <f>'Customer Sector'!$F$7+AB15</f>
        <v>2034</v>
      </c>
      <c r="CN6" s="449">
        <f>'Customer Sector'!$F$7+AC15</f>
        <v>2035</v>
      </c>
      <c r="CO6" s="449">
        <f>'Customer Sector'!$F$7+AD15</f>
        <v>2036</v>
      </c>
      <c r="CP6" s="449">
        <f>'Customer Sector'!$F$7+AE15</f>
        <v>2037</v>
      </c>
      <c r="CQ6" s="450">
        <f>'Customer Sector'!$F$7+AF15</f>
        <v>2038</v>
      </c>
    </row>
    <row r="7" spans="2:95" x14ac:dyDescent="0.25">
      <c r="B7" s="90" t="s">
        <v>436</v>
      </c>
      <c r="C7" s="91"/>
      <c r="D7" s="91"/>
      <c r="E7" s="91"/>
      <c r="F7" s="295" t="s">
        <v>18</v>
      </c>
      <c r="G7" s="293">
        <v>0</v>
      </c>
      <c r="H7" s="162">
        <f>'Customer Sector'!F19</f>
        <v>8287611</v>
      </c>
      <c r="I7" s="162">
        <f>IF('Customer Sector'!$F$23&gt;'Customer Calc'!H15,H7*(1+'Customer Sector'!$F$20),0)</f>
        <v>8561102.1629999988</v>
      </c>
      <c r="J7" s="162">
        <f>IF('Customer Sector'!$F$23&gt;'Customer Calc'!I15,I7*(1+'Customer Sector'!$F$20),0)</f>
        <v>8843618.534378998</v>
      </c>
      <c r="K7" s="162">
        <f>IF('Customer Sector'!$F$23&gt;'Customer Calc'!J15,J7*(1+'Customer Sector'!$F$20),0)</f>
        <v>9135457.9460135046</v>
      </c>
      <c r="L7" s="162">
        <f>IF('Customer Sector'!$F$23&gt;'Customer Calc'!K15,K7*(1+'Customer Sector'!$F$20),0)</f>
        <v>9436928.0582319498</v>
      </c>
      <c r="M7" s="162">
        <f>IF('Customer Sector'!$F$23&gt;'Customer Calc'!L15,L7*(1+'Customer Sector'!$F$20),0)</f>
        <v>9748346.6841536034</v>
      </c>
      <c r="N7" s="162">
        <f>IF('Customer Sector'!$F$23&gt;'Customer Calc'!M15,M7*(1+'Customer Sector'!$F$20),0)</f>
        <v>10070042.124730671</v>
      </c>
      <c r="O7" s="162">
        <f>IF('Customer Sector'!$F$23&gt;'Customer Calc'!N15,N7*(1+'Customer Sector'!$F$20),0)</f>
        <v>10402353.514846781</v>
      </c>
      <c r="P7" s="162">
        <f>IF('Customer Sector'!$F$23&gt;'Customer Calc'!O15,O7*(1+'Customer Sector'!$F$20),0)</f>
        <v>10745631.180836724</v>
      </c>
      <c r="Q7" s="162">
        <f>IF('Customer Sector'!$F$23&gt;'Customer Calc'!P15,P7*(1+'Customer Sector'!$F$20),0)</f>
        <v>11100237.009804334</v>
      </c>
      <c r="R7" s="162">
        <f>IF('Customer Sector'!$F$23&gt;'Customer Calc'!Q15,Q7*(1+'Customer Sector'!$F$20),0)</f>
        <v>0</v>
      </c>
      <c r="S7" s="162">
        <f>IF('Customer Sector'!$F$23&gt;'Customer Calc'!R15,R7*(1+'Customer Sector'!$F$20),0)</f>
        <v>0</v>
      </c>
      <c r="T7" s="162">
        <f>IF('Customer Sector'!$F$23&gt;'Customer Calc'!S15,S7*(1+'Customer Sector'!$F$20),0)</f>
        <v>0</v>
      </c>
      <c r="U7" s="162">
        <f>IF('Customer Sector'!$F$23&gt;'Customer Calc'!T15,T7*(1+'Customer Sector'!$F$20),0)</f>
        <v>0</v>
      </c>
      <c r="V7" s="162">
        <f>IF('Customer Sector'!$F$23&gt;'Customer Calc'!U15,U7*(1+'Customer Sector'!$F$20),0)</f>
        <v>0</v>
      </c>
      <c r="W7" s="162">
        <f>IF('Customer Sector'!$F$23&gt;'Customer Calc'!V15,V7*(1+'Customer Sector'!$F$20),0)</f>
        <v>0</v>
      </c>
      <c r="X7" s="162">
        <f>IF('Customer Sector'!$F$23&gt;'Customer Calc'!W15,W7*(1+'Customer Sector'!$F$20),0)</f>
        <v>0</v>
      </c>
      <c r="Y7" s="162">
        <f>IF('Customer Sector'!$F$23&gt;'Customer Calc'!X15,X7*(1+'Customer Sector'!$F$20),0)</f>
        <v>0</v>
      </c>
      <c r="Z7" s="162">
        <f>IF('Customer Sector'!$F$23&gt;'Customer Calc'!Y15,Y7*(1+'Customer Sector'!$F$20),0)</f>
        <v>0</v>
      </c>
      <c r="AA7" s="162">
        <f>IF('Customer Sector'!$F$23&gt;'Customer Calc'!Z15,Z7*(1+'Customer Sector'!$F$20),0)</f>
        <v>0</v>
      </c>
      <c r="AB7" s="162">
        <f>IF('Customer Sector'!$F$23&gt;'Customer Calc'!AA15,AA7*(1+'Customer Sector'!$F$20),0)</f>
        <v>0</v>
      </c>
      <c r="AC7" s="162">
        <f>IF('Customer Sector'!$F$23&gt;'Customer Calc'!AB15,AB7*(1+'Customer Sector'!$F$20),0)</f>
        <v>0</v>
      </c>
      <c r="AD7" s="162">
        <f>IF('Customer Sector'!$F$23&gt;'Customer Calc'!AC15,AC7*(1+'Customer Sector'!$F$20),0)</f>
        <v>0</v>
      </c>
      <c r="AE7" s="162">
        <f>IF('Customer Sector'!$F$23&gt;'Customer Calc'!AD15,AD7*(1+'Customer Sector'!$F$20),0)</f>
        <v>0</v>
      </c>
      <c r="AF7" s="162">
        <f>IF('Customer Sector'!$F$23&gt;'Customer Calc'!AE15,AE7*(1+'Customer Sector'!$F$20),0)</f>
        <v>0</v>
      </c>
      <c r="AH7" s="90" t="s">
        <v>436</v>
      </c>
      <c r="AI7" s="90"/>
      <c r="AJ7" s="91"/>
      <c r="AK7" s="91"/>
      <c r="AL7" s="295" t="s">
        <v>18</v>
      </c>
      <c r="AM7" s="95">
        <v>0</v>
      </c>
      <c r="AN7" s="162">
        <f>'Customer Sector'!L19</f>
        <v>13659969</v>
      </c>
      <c r="AO7" s="162">
        <f>IF('Customer Sector'!$L$23&gt;AN15,AN7*(1+'Customer Sector'!$L$20),0)</f>
        <v>14056108.100999998</v>
      </c>
      <c r="AP7" s="162">
        <f>IF('Customer Sector'!$L$23&gt;AO15,AO7*(1+'Customer Sector'!$L$20),0)</f>
        <v>14463735.235928997</v>
      </c>
      <c r="AQ7" s="162">
        <f>IF('Customer Sector'!$L$23&gt;AP15,AP7*(1+'Customer Sector'!$L$20),0)</f>
        <v>14883183.557770938</v>
      </c>
      <c r="AR7" s="162">
        <f>IF('Customer Sector'!$L$23&gt;AQ15,AQ7*(1+'Customer Sector'!$L$20),0)</f>
        <v>15314795.880946293</v>
      </c>
      <c r="AS7" s="162">
        <f>IF('Customer Sector'!$L$23&gt;AR15,AR7*(1+'Customer Sector'!$L$20),0)</f>
        <v>15758924.961493734</v>
      </c>
      <c r="AT7" s="162">
        <f>IF('Customer Sector'!$L$23&gt;AS15,AS7*(1+'Customer Sector'!$L$20),0)</f>
        <v>16215933.785377052</v>
      </c>
      <c r="AU7" s="162">
        <f>IF('Customer Sector'!$L$23&gt;AT15,AT7*(1+'Customer Sector'!$L$20),0)</f>
        <v>16686195.865152985</v>
      </c>
      <c r="AV7" s="162">
        <f>IF('Customer Sector'!$L$23&gt;AU15,AU7*(1+'Customer Sector'!$L$20),0)</f>
        <v>17170095.545242421</v>
      </c>
      <c r="AW7" s="162">
        <f>IF('Customer Sector'!$L$23&gt;AV15,AV7*(1+'Customer Sector'!$L$20),0)</f>
        <v>17668028.316054448</v>
      </c>
      <c r="AX7" s="162">
        <f>IF('Customer Sector'!$L$23&gt;AW15,AW7*(1+'Customer Sector'!$L$20),0)</f>
        <v>0</v>
      </c>
      <c r="AY7" s="162">
        <f>IF('Customer Sector'!$L$23&gt;AX15,AX7*(1+'Customer Sector'!$L$20),0)</f>
        <v>0</v>
      </c>
      <c r="AZ7" s="162">
        <f>IF('Customer Sector'!$L$23&gt;AY15,AY7*(1+'Customer Sector'!$L$20),0)</f>
        <v>0</v>
      </c>
      <c r="BA7" s="162">
        <f>IF('Customer Sector'!$L$23&gt;AZ15,AZ7*(1+'Customer Sector'!$L$20),0)</f>
        <v>0</v>
      </c>
      <c r="BB7" s="162">
        <f>IF('Customer Sector'!$L$23&gt;BA15,BA7*(1+'Customer Sector'!$L$20),0)</f>
        <v>0</v>
      </c>
      <c r="BC7" s="162">
        <f>IF('Customer Sector'!$L$23&gt;BB15,BB7*(1+'Customer Sector'!$L$20),0)</f>
        <v>0</v>
      </c>
      <c r="BD7" s="162">
        <f>IF('Customer Sector'!$L$23&gt;BC15,BC7*(1+'Customer Sector'!$L$20),0)</f>
        <v>0</v>
      </c>
      <c r="BE7" s="162">
        <f>IF('Customer Sector'!$L$23&gt;BD15,BD7*(1+'Customer Sector'!$L$20),0)</f>
        <v>0</v>
      </c>
      <c r="BF7" s="162">
        <f>IF('Customer Sector'!$L$23&gt;BE15,BE7*(1+'Customer Sector'!$L$20),0)</f>
        <v>0</v>
      </c>
      <c r="BG7" s="162">
        <f>IF('Customer Sector'!$L$23&gt;BF15,BF7*(1+'Customer Sector'!$L$20),0)</f>
        <v>0</v>
      </c>
      <c r="BH7" s="162">
        <f>IF('Customer Sector'!$L$23&gt;BG15,BG7*(1+'Customer Sector'!$L$20),0)</f>
        <v>0</v>
      </c>
      <c r="BI7" s="162">
        <f>IF('Customer Sector'!$L$23&gt;BH15,BH7*(1+'Customer Sector'!$L$20),0)</f>
        <v>0</v>
      </c>
      <c r="BJ7" s="162">
        <f>IF('Customer Sector'!$L$23&gt;BI15,BI7*(1+'Customer Sector'!$L$20),0)</f>
        <v>0</v>
      </c>
      <c r="BK7" s="162">
        <f>IF('Customer Sector'!$L$23&gt;BJ15,BJ7*(1+'Customer Sector'!$L$20),0)</f>
        <v>0</v>
      </c>
      <c r="BL7" s="162">
        <f>IF('Customer Sector'!$L$23&gt;BK15,BK7*(1+'Customer Sector'!$L$20),0)</f>
        <v>0</v>
      </c>
      <c r="BN7" s="31" t="s">
        <v>452</v>
      </c>
      <c r="BO7" s="32"/>
      <c r="BP7" s="32"/>
      <c r="BQ7" s="109" t="s">
        <v>6</v>
      </c>
      <c r="BR7" s="239">
        <f>BR8+BR9</f>
        <v>81089000000</v>
      </c>
      <c r="BS7" s="239">
        <f t="shared" ref="BS7:CQ7" si="0">BS8+BS9</f>
        <v>81792483400</v>
      </c>
      <c r="BT7" s="239">
        <f t="shared" si="0"/>
        <v>82488185088.440002</v>
      </c>
      <c r="BU7" s="239">
        <f t="shared" si="0"/>
        <v>83174937209.31691</v>
      </c>
      <c r="BV7" s="239">
        <f t="shared" si="0"/>
        <v>83851485950.065094</v>
      </c>
      <c r="BW7" s="239">
        <f t="shared" si="0"/>
        <v>84516485689.367386</v>
      </c>
      <c r="BX7" s="239">
        <f t="shared" si="0"/>
        <v>85168492751.731842</v>
      </c>
      <c r="BY7" s="239">
        <f t="shared" si="0"/>
        <v>85805958742.473526</v>
      </c>
      <c r="BZ7" s="239">
        <f t="shared" si="0"/>
        <v>86427223434.974213</v>
      </c>
      <c r="CA7" s="239">
        <f t="shared" si="0"/>
        <v>87030507180.208206</v>
      </c>
      <c r="CB7" s="239">
        <f t="shared" si="0"/>
        <v>87613902806.511566</v>
      </c>
      <c r="CC7" s="239">
        <f t="shared" si="0"/>
        <v>88699565375.894302</v>
      </c>
      <c r="CD7" s="239">
        <f t="shared" si="0"/>
        <v>89798792409.237457</v>
      </c>
      <c r="CE7" s="239">
        <f t="shared" si="0"/>
        <v>90911754845.217133</v>
      </c>
      <c r="CF7" s="239">
        <f t="shared" si="0"/>
        <v>92038625795.670654</v>
      </c>
      <c r="CG7" s="239">
        <f t="shared" si="0"/>
        <v>93179580573.468903</v>
      </c>
      <c r="CH7" s="239">
        <f t="shared" si="0"/>
        <v>94334796720.749573</v>
      </c>
      <c r="CI7" s="239">
        <f t="shared" si="0"/>
        <v>95504454037.515503</v>
      </c>
      <c r="CJ7" s="239">
        <f t="shared" si="0"/>
        <v>96688734610.603195</v>
      </c>
      <c r="CK7" s="239">
        <f t="shared" si="0"/>
        <v>97887822843.02623</v>
      </c>
      <c r="CL7" s="239">
        <f t="shared" si="0"/>
        <v>99101905483.698547</v>
      </c>
      <c r="CM7" s="239">
        <f t="shared" si="0"/>
        <v>100331171657.54236</v>
      </c>
      <c r="CN7" s="239">
        <f t="shared" si="0"/>
        <v>101575812895.98601</v>
      </c>
      <c r="CO7" s="239">
        <f t="shared" si="0"/>
        <v>102836023167.85664</v>
      </c>
      <c r="CP7" s="239">
        <f t="shared" si="0"/>
        <v>104111998910.67285</v>
      </c>
      <c r="CQ7" s="241">
        <f t="shared" si="0"/>
        <v>105403939062.3427</v>
      </c>
    </row>
    <row r="8" spans="2:95" x14ac:dyDescent="0.25">
      <c r="B8" s="90" t="s">
        <v>471</v>
      </c>
      <c r="C8" s="91"/>
      <c r="D8" s="91"/>
      <c r="E8" s="91"/>
      <c r="F8" s="295" t="s">
        <v>19</v>
      </c>
      <c r="G8" s="293">
        <v>0</v>
      </c>
      <c r="H8" s="293">
        <f>'Customer Sector'!F21</f>
        <v>9842861</v>
      </c>
      <c r="I8" s="162">
        <f>IF('Customer Sector'!$F$23&gt;'Customer Calc'!H15,H8*(1+'Customer Sector'!$F$22),0)</f>
        <v>10118461.108000001</v>
      </c>
      <c r="J8" s="162">
        <f>IF('Customer Sector'!$F$23&gt;'Customer Calc'!I15,I8*(1+'Customer Sector'!$F$22),0)</f>
        <v>10401778.019024001</v>
      </c>
      <c r="K8" s="162">
        <f>IF('Customer Sector'!$F$23&gt;'Customer Calc'!J15,J8*(1+'Customer Sector'!$F$22),0)</f>
        <v>10693027.803556673</v>
      </c>
      <c r="L8" s="162">
        <f>IF('Customer Sector'!$F$23&gt;'Customer Calc'!K15,K8*(1+'Customer Sector'!$F$22),0)</f>
        <v>10992432.58205626</v>
      </c>
      <c r="M8" s="162">
        <f>IF('Customer Sector'!$F$23&gt;'Customer Calc'!L15,L8*(1+'Customer Sector'!$F$22),0)</f>
        <v>11300220.694353836</v>
      </c>
      <c r="N8" s="162">
        <f>IF('Customer Sector'!$F$23&gt;'Customer Calc'!M15,M8*(1+'Customer Sector'!$F$22),0)</f>
        <v>11616626.873795744</v>
      </c>
      <c r="O8" s="162">
        <f>IF('Customer Sector'!$F$23&gt;'Customer Calc'!N15,N8*(1+'Customer Sector'!$F$22),0)</f>
        <v>11941892.426262025</v>
      </c>
      <c r="P8" s="162">
        <f>IF('Customer Sector'!$F$23&gt;'Customer Calc'!O15,O8*(1+'Customer Sector'!$F$22),0)</f>
        <v>12276265.414197361</v>
      </c>
      <c r="Q8" s="162">
        <f>IF('Customer Sector'!$F$23&gt;'Customer Calc'!P15,P8*(1+'Customer Sector'!$F$22),0)</f>
        <v>12620000.845794888</v>
      </c>
      <c r="R8" s="162">
        <f>IF('Customer Sector'!$F$23&gt;'Customer Calc'!Q15,Q8*(1+'Customer Sector'!$F$22),0)</f>
        <v>0</v>
      </c>
      <c r="S8" s="162">
        <f>IF('Customer Sector'!$F$23&gt;'Customer Calc'!R15,R8*(1+'Customer Sector'!$F$22),0)</f>
        <v>0</v>
      </c>
      <c r="T8" s="162">
        <f>IF('Customer Sector'!$F$23&gt;'Customer Calc'!S15,S8*(1+'Customer Sector'!$F$22),0)</f>
        <v>0</v>
      </c>
      <c r="U8" s="162">
        <f>IF('Customer Sector'!$F$23&gt;'Customer Calc'!T15,T8*(1+'Customer Sector'!$F$22),0)</f>
        <v>0</v>
      </c>
      <c r="V8" s="162">
        <f>IF('Customer Sector'!$F$23&gt;'Customer Calc'!U15,U8*(1+'Customer Sector'!$F$22),0)</f>
        <v>0</v>
      </c>
      <c r="W8" s="162">
        <f>IF('Customer Sector'!$F$23&gt;'Customer Calc'!V15,V8*(1+'Customer Sector'!$F$22),0)</f>
        <v>0</v>
      </c>
      <c r="X8" s="162">
        <f>IF('Customer Sector'!$F$23&gt;'Customer Calc'!W15,W8*(1+'Customer Sector'!$F$22),0)</f>
        <v>0</v>
      </c>
      <c r="Y8" s="162">
        <f>IF('Customer Sector'!$F$23&gt;'Customer Calc'!X15,X8*(1+'Customer Sector'!$F$22),0)</f>
        <v>0</v>
      </c>
      <c r="Z8" s="162">
        <f>IF('Customer Sector'!$F$23&gt;'Customer Calc'!Y15,Y8*(1+'Customer Sector'!$F$22),0)</f>
        <v>0</v>
      </c>
      <c r="AA8" s="162">
        <f>IF('Customer Sector'!$F$23&gt;'Customer Calc'!Z15,Z8*(1+'Customer Sector'!$F$22),0)</f>
        <v>0</v>
      </c>
      <c r="AB8" s="162">
        <f>IF('Customer Sector'!$F$23&gt;'Customer Calc'!AA15,AA8*(1+'Customer Sector'!$F$22),0)</f>
        <v>0</v>
      </c>
      <c r="AC8" s="162">
        <f>IF('Customer Sector'!$F$23&gt;'Customer Calc'!AB15,AB8*(1+'Customer Sector'!$F$22),0)</f>
        <v>0</v>
      </c>
      <c r="AD8" s="162">
        <f>IF('Customer Sector'!$F$23&gt;'Customer Calc'!AC15,AC8*(1+'Customer Sector'!$F$22),0)</f>
        <v>0</v>
      </c>
      <c r="AE8" s="162">
        <f>IF('Customer Sector'!$F$23&gt;'Customer Calc'!AD15,AD8*(1+'Customer Sector'!$F$22),0)</f>
        <v>0</v>
      </c>
      <c r="AF8" s="162">
        <f>IF('Customer Sector'!$F$23&gt;'Customer Calc'!AE15,AE8*(1+'Customer Sector'!$F$22),0)</f>
        <v>0</v>
      </c>
      <c r="AH8" s="90" t="s">
        <v>471</v>
      </c>
      <c r="AI8" s="91"/>
      <c r="AJ8" s="91"/>
      <c r="AK8" s="91"/>
      <c r="AL8" s="295"/>
      <c r="AM8" s="95">
        <v>0</v>
      </c>
      <c r="AN8" s="162">
        <f>'Customer Sector'!L21</f>
        <v>5540558</v>
      </c>
      <c r="AO8" s="162">
        <f>IF('Customer Sector'!$L$23&gt;AN15,AN8*(1+'Customer Sector'!$L$22),0)</f>
        <v>5740018.0880000005</v>
      </c>
      <c r="AP8" s="162">
        <f>IF('Customer Sector'!$L$23&gt;AO15,AO8*(1+'Customer Sector'!$L$22),0)</f>
        <v>5946658.7391680004</v>
      </c>
      <c r="AQ8" s="162">
        <f>IF('Customer Sector'!$L$23&gt;AP15,AP8*(1+'Customer Sector'!$L$22),0)</f>
        <v>6160738.453778049</v>
      </c>
      <c r="AR8" s="162">
        <f>IF('Customer Sector'!$L$23&gt;AQ15,AQ8*(1+'Customer Sector'!$L$22),0)</f>
        <v>6382525.0381140588</v>
      </c>
      <c r="AS8" s="162">
        <f>IF('Customer Sector'!$L$23&gt;AR15,AR8*(1+'Customer Sector'!$L$22),0)</f>
        <v>6612295.9394861655</v>
      </c>
      <c r="AT8" s="162">
        <f>IF('Customer Sector'!$L$23&gt;AS15,AS8*(1+'Customer Sector'!$L$22),0)</f>
        <v>6850338.5933076674</v>
      </c>
      <c r="AU8" s="162">
        <f>IF('Customer Sector'!$L$23&gt;AT15,AT8*(1+'Customer Sector'!$L$22),0)</f>
        <v>7096950.7826667437</v>
      </c>
      <c r="AV8" s="162">
        <f>IF('Customer Sector'!$L$23&gt;AU15,AU8*(1+'Customer Sector'!$L$22),0)</f>
        <v>7352441.0108427471</v>
      </c>
      <c r="AW8" s="162">
        <f>IF('Customer Sector'!$L$23&gt;AV15,AV8*(1+'Customer Sector'!$L$22),0)</f>
        <v>7617128.8872330859</v>
      </c>
      <c r="AX8" s="162">
        <f>IF('Customer Sector'!$L$23&gt;AW15,AW8*(1+'Customer Sector'!$L$22),0)</f>
        <v>0</v>
      </c>
      <c r="AY8" s="162">
        <f>IF('Customer Sector'!$L$23&gt;AX15,AX8*(1+'Customer Sector'!$L$22),0)</f>
        <v>0</v>
      </c>
      <c r="AZ8" s="162">
        <f>IF('Customer Sector'!$L$23&gt;AY15,AY8*(1+'Customer Sector'!$L$22),0)</f>
        <v>0</v>
      </c>
      <c r="BA8" s="162">
        <f>IF('Customer Sector'!$L$23&gt;AZ15,AZ8*(1+'Customer Sector'!$L$22),0)</f>
        <v>0</v>
      </c>
      <c r="BB8" s="162">
        <f>IF('Customer Sector'!$L$23&gt;BA15,BA8*(1+'Customer Sector'!$L$22),0)</f>
        <v>0</v>
      </c>
      <c r="BC8" s="162">
        <f>IF('Customer Sector'!$L$23&gt;BB15,BB8*(1+'Customer Sector'!$L$22),0)</f>
        <v>0</v>
      </c>
      <c r="BD8" s="162">
        <f>IF('Customer Sector'!$L$23&gt;BC15,BC8*(1+'Customer Sector'!$L$22),0)</f>
        <v>0</v>
      </c>
      <c r="BE8" s="162">
        <f>IF('Customer Sector'!$L$23&gt;BD15,BD8*(1+'Customer Sector'!$L$22),0)</f>
        <v>0</v>
      </c>
      <c r="BF8" s="162">
        <f>IF('Customer Sector'!$L$23&gt;BE15,BE8*(1+'Customer Sector'!$L$22),0)</f>
        <v>0</v>
      </c>
      <c r="BG8" s="162">
        <f>IF('Customer Sector'!$L$23&gt;BF15,BF8*(1+'Customer Sector'!$L$22),0)</f>
        <v>0</v>
      </c>
      <c r="BH8" s="162">
        <f>IF('Customer Sector'!$L$23&gt;BG15,BG8*(1+'Customer Sector'!$L$22),0)</f>
        <v>0</v>
      </c>
      <c r="BI8" s="162">
        <f>IF('Customer Sector'!$L$23&gt;BH15,BH8*(1+'Customer Sector'!$L$22),0)</f>
        <v>0</v>
      </c>
      <c r="BJ8" s="162">
        <f>IF('Customer Sector'!$L$23&gt;BI15,BI8*(1+'Customer Sector'!$L$22),0)</f>
        <v>0</v>
      </c>
      <c r="BK8" s="162">
        <f>IF('Customer Sector'!$L$23&gt;BJ15,BJ8*(1+'Customer Sector'!$L$22),0)</f>
        <v>0</v>
      </c>
      <c r="BL8" s="162">
        <f>IF('Customer Sector'!$L$23&gt;BK15,BK8*(1+'Customer Sector'!$L$22),0)</f>
        <v>0</v>
      </c>
      <c r="BN8" s="10"/>
      <c r="BO8" s="11" t="s">
        <v>450</v>
      </c>
      <c r="BP8" s="11"/>
      <c r="BQ8" s="446" t="s">
        <v>19</v>
      </c>
      <c r="BR8" s="453">
        <f>G58</f>
        <v>25700000000</v>
      </c>
      <c r="BS8" s="453">
        <f t="shared" ref="BS8:CQ8" si="1">H58</f>
        <v>26001960000</v>
      </c>
      <c r="BT8" s="453">
        <f t="shared" si="1"/>
        <v>26307626880</v>
      </c>
      <c r="BU8" s="453">
        <f t="shared" si="1"/>
        <v>26617047851.279999</v>
      </c>
      <c r="BV8" s="453">
        <f t="shared" si="1"/>
        <v>26930270743.91256</v>
      </c>
      <c r="BW8" s="453">
        <f t="shared" si="1"/>
        <v>27247344015.046406</v>
      </c>
      <c r="BX8" s="453">
        <f t="shared" si="1"/>
        <v>27568316757.302601</v>
      </c>
      <c r="BY8" s="453">
        <f t="shared" si="1"/>
        <v>27893238707.28479</v>
      </c>
      <c r="BZ8" s="453">
        <f t="shared" si="1"/>
        <v>28222160254.205151</v>
      </c>
      <c r="CA8" s="453">
        <f t="shared" si="1"/>
        <v>28555132448.62756</v>
      </c>
      <c r="CB8" s="453">
        <f t="shared" si="1"/>
        <v>28892207011.329655</v>
      </c>
      <c r="CC8" s="453">
        <f t="shared" si="1"/>
        <v>29296697909.48827</v>
      </c>
      <c r="CD8" s="453">
        <f t="shared" si="1"/>
        <v>29706851680.221107</v>
      </c>
      <c r="CE8" s="453">
        <f t="shared" si="1"/>
        <v>30122747603.744202</v>
      </c>
      <c r="CF8" s="453">
        <f t="shared" si="1"/>
        <v>30544466070.196621</v>
      </c>
      <c r="CG8" s="453">
        <f t="shared" si="1"/>
        <v>30972088595.179375</v>
      </c>
      <c r="CH8" s="453">
        <f t="shared" si="1"/>
        <v>31405697835.511887</v>
      </c>
      <c r="CI8" s="453">
        <f t="shared" si="1"/>
        <v>31845377605.209053</v>
      </c>
      <c r="CJ8" s="453">
        <f t="shared" si="1"/>
        <v>32291212891.68198</v>
      </c>
      <c r="CK8" s="453">
        <f t="shared" si="1"/>
        <v>32743289872.165527</v>
      </c>
      <c r="CL8" s="453">
        <f t="shared" si="1"/>
        <v>33201695930.375847</v>
      </c>
      <c r="CM8" s="453">
        <f t="shared" si="1"/>
        <v>33666519673.401108</v>
      </c>
      <c r="CN8" s="453">
        <f t="shared" si="1"/>
        <v>34137850948.828724</v>
      </c>
      <c r="CO8" s="453">
        <f t="shared" si="1"/>
        <v>34615780862.112328</v>
      </c>
      <c r="CP8" s="453">
        <f t="shared" si="1"/>
        <v>35100401794.1819</v>
      </c>
      <c r="CQ8" s="454">
        <f t="shared" si="1"/>
        <v>35591807419.300446</v>
      </c>
    </row>
    <row r="9" spans="2:95" x14ac:dyDescent="0.25">
      <c r="B9" s="90" t="s">
        <v>445</v>
      </c>
      <c r="C9" s="91"/>
      <c r="D9" s="91"/>
      <c r="E9" s="91"/>
      <c r="F9" s="295" t="s">
        <v>6</v>
      </c>
      <c r="G9" s="95">
        <v>0</v>
      </c>
      <c r="H9" s="36">
        <f>'Customer Sector'!F25</f>
        <v>57840000</v>
      </c>
      <c r="I9" s="36">
        <f>IF('Customer Sector'!$F$23&gt;'Customer Calc'!H15,H9*(1+'Customer Sector'!$F$26),0)</f>
        <v>58360559.999999993</v>
      </c>
      <c r="J9" s="36">
        <f>IF('Customer Sector'!$F$23&gt;'Customer Calc'!I15,I9*(1+'Customer Sector'!$F$26),0)</f>
        <v>58885805.039999984</v>
      </c>
      <c r="K9" s="36">
        <f>IF('Customer Sector'!$F$23&gt;'Customer Calc'!J15,J9*(1+'Customer Sector'!$F$26),0)</f>
        <v>59415777.285359979</v>
      </c>
      <c r="L9" s="36">
        <f>IF('Customer Sector'!$F$23&gt;'Customer Calc'!K15,K9*(1+'Customer Sector'!$F$26),0)</f>
        <v>59950519.280928209</v>
      </c>
      <c r="M9" s="36">
        <f>IF('Customer Sector'!$F$23&gt;'Customer Calc'!L15,L9*(1+'Customer Sector'!$F$26),0)</f>
        <v>60490073.95445656</v>
      </c>
      <c r="N9" s="36">
        <f>IF('Customer Sector'!$F$23&gt;'Customer Calc'!M15,M9*(1+'Customer Sector'!$F$26),0)</f>
        <v>61034484.62004666</v>
      </c>
      <c r="O9" s="36">
        <f>IF('Customer Sector'!$F$23&gt;'Customer Calc'!N15,N9*(1+'Customer Sector'!$F$26),0)</f>
        <v>61583794.981627077</v>
      </c>
      <c r="P9" s="36">
        <f>IF('Customer Sector'!$F$23&gt;'Customer Calc'!O15,O9*(1+'Customer Sector'!$F$26),0)</f>
        <v>62138049.136461712</v>
      </c>
      <c r="Q9" s="36">
        <f>IF('Customer Sector'!$F$23&gt;'Customer Calc'!P15,P9*(1+'Customer Sector'!$F$26),0)</f>
        <v>62697291.578689858</v>
      </c>
      <c r="R9" s="306"/>
      <c r="S9" s="306"/>
      <c r="T9" s="306"/>
      <c r="U9" s="306"/>
      <c r="V9" s="306"/>
      <c r="W9" s="306"/>
      <c r="X9" s="306"/>
      <c r="Y9" s="306"/>
      <c r="Z9" s="306"/>
      <c r="AA9" s="306"/>
      <c r="AB9" s="306"/>
      <c r="AC9" s="306"/>
      <c r="AD9" s="306"/>
      <c r="AE9" s="306"/>
      <c r="AF9" s="315"/>
      <c r="AH9" s="90" t="s">
        <v>445</v>
      </c>
      <c r="AI9" s="91"/>
      <c r="AJ9" s="91"/>
      <c r="AK9" s="91"/>
      <c r="AL9" s="295" t="s">
        <v>6</v>
      </c>
      <c r="AM9" s="95">
        <v>0</v>
      </c>
      <c r="AN9" s="36">
        <f>'Customer Sector'!L25</f>
        <v>240989000</v>
      </c>
      <c r="AO9" s="36">
        <f>AN9*(1+'Customer Sector'!$L$26)</f>
        <v>257135263</v>
      </c>
      <c r="AP9" s="36">
        <f>AO9*(1+'Customer Sector'!$L$26)</f>
        <v>274363325.62099999</v>
      </c>
      <c r="AQ9" s="36">
        <f>AP9*(1+'Customer Sector'!$L$26)</f>
        <v>292745668.43760699</v>
      </c>
      <c r="AR9" s="36">
        <f>AQ9*(1+'Customer Sector'!$L$26)</f>
        <v>312359628.22292662</v>
      </c>
      <c r="AS9" s="36">
        <f>AR9*(1+'Customer Sector'!$L$26)</f>
        <v>333287723.31386268</v>
      </c>
      <c r="AT9" s="36">
        <f>AS9*(1+'Customer Sector'!$L$26)</f>
        <v>355618000.77589148</v>
      </c>
      <c r="AU9" s="36">
        <f>AT9*(1+'Customer Sector'!$L$26)</f>
        <v>379444406.82787621</v>
      </c>
      <c r="AV9" s="36">
        <f>AU9*(1+'Customer Sector'!$L$26)</f>
        <v>404867182.0853439</v>
      </c>
      <c r="AW9" s="36">
        <f>AV9*(1+'Customer Sector'!$L$26)</f>
        <v>431993283.2850619</v>
      </c>
      <c r="AX9" s="306"/>
      <c r="AY9" s="306"/>
      <c r="AZ9" s="306"/>
      <c r="BA9" s="306"/>
      <c r="BB9" s="306"/>
      <c r="BC9" s="306"/>
      <c r="BD9" s="306"/>
      <c r="BE9" s="306"/>
      <c r="BF9" s="306"/>
      <c r="BG9" s="306"/>
      <c r="BH9" s="306"/>
      <c r="BI9" s="306"/>
      <c r="BJ9" s="306"/>
      <c r="BK9" s="306"/>
      <c r="BL9" s="315"/>
      <c r="BN9" s="10"/>
      <c r="BO9" s="11" t="s">
        <v>451</v>
      </c>
      <c r="BP9" s="11"/>
      <c r="BQ9" s="446" t="s">
        <v>19</v>
      </c>
      <c r="BR9" s="453">
        <f>AM58</f>
        <v>55389000000</v>
      </c>
      <c r="BS9" s="453">
        <f t="shared" ref="BS9:CQ9" si="2">AN58</f>
        <v>55790523400</v>
      </c>
      <c r="BT9" s="453">
        <f t="shared" si="2"/>
        <v>56180558208.440002</v>
      </c>
      <c r="BU9" s="453">
        <f t="shared" si="2"/>
        <v>56557889358.036911</v>
      </c>
      <c r="BV9" s="453">
        <f t="shared" si="2"/>
        <v>56921215206.152534</v>
      </c>
      <c r="BW9" s="453">
        <f t="shared" si="2"/>
        <v>57269141674.320984</v>
      </c>
      <c r="BX9" s="453">
        <f t="shared" si="2"/>
        <v>57600175994.429245</v>
      </c>
      <c r="BY9" s="453">
        <f t="shared" si="2"/>
        <v>57912720035.188736</v>
      </c>
      <c r="BZ9" s="453">
        <f t="shared" si="2"/>
        <v>58205063180.769058</v>
      </c>
      <c r="CA9" s="453">
        <f t="shared" si="2"/>
        <v>58475374731.580643</v>
      </c>
      <c r="CB9" s="453">
        <f t="shared" si="2"/>
        <v>58721695795.181915</v>
      </c>
      <c r="CC9" s="453">
        <f t="shared" si="2"/>
        <v>59402867466.406029</v>
      </c>
      <c r="CD9" s="453">
        <f t="shared" si="2"/>
        <v>60091940729.016342</v>
      </c>
      <c r="CE9" s="453">
        <f t="shared" si="2"/>
        <v>60789007241.472939</v>
      </c>
      <c r="CF9" s="453">
        <f t="shared" si="2"/>
        <v>61494159725.47403</v>
      </c>
      <c r="CG9" s="453">
        <f t="shared" si="2"/>
        <v>62207491978.289528</v>
      </c>
      <c r="CH9" s="453">
        <f t="shared" si="2"/>
        <v>62929098885.237686</v>
      </c>
      <c r="CI9" s="453">
        <f t="shared" si="2"/>
        <v>63659076432.30645</v>
      </c>
      <c r="CJ9" s="453">
        <f t="shared" si="2"/>
        <v>64397521718.921211</v>
      </c>
      <c r="CK9" s="453">
        <f t="shared" si="2"/>
        <v>65144532970.860703</v>
      </c>
      <c r="CL9" s="453">
        <f t="shared" si="2"/>
        <v>65900209553.322693</v>
      </c>
      <c r="CM9" s="453">
        <f t="shared" si="2"/>
        <v>66664651984.141243</v>
      </c>
      <c r="CN9" s="453">
        <f t="shared" si="2"/>
        <v>67437961947.157288</v>
      </c>
      <c r="CO9" s="453">
        <f t="shared" si="2"/>
        <v>68220242305.744316</v>
      </c>
      <c r="CP9" s="453">
        <f t="shared" si="2"/>
        <v>69011597116.490952</v>
      </c>
      <c r="CQ9" s="454">
        <f t="shared" si="2"/>
        <v>69812131643.042252</v>
      </c>
    </row>
    <row r="10" spans="2:95" x14ac:dyDescent="0.25">
      <c r="B10" s="90" t="s">
        <v>446</v>
      </c>
      <c r="C10" s="91"/>
      <c r="D10" s="91"/>
      <c r="E10" s="91"/>
      <c r="F10" s="295" t="s">
        <v>79</v>
      </c>
      <c r="G10" s="95">
        <v>0</v>
      </c>
      <c r="H10" s="36">
        <f>'Customer Sector'!F27</f>
        <v>10200</v>
      </c>
      <c r="I10" s="36">
        <f ca="1">IF('Customer Sector'!$F$23&gt;'Customer Calc'!H16,H10*(1+'Customer Sector'!$F$28),0)</f>
        <v>10250.999999999998</v>
      </c>
      <c r="J10" s="36">
        <f ca="1">IF('Customer Sector'!$F$23&gt;'Customer Calc'!I16,I10*(1+'Customer Sector'!$F$28),0)</f>
        <v>10302.254999999997</v>
      </c>
      <c r="K10" s="36">
        <f ca="1">IF('Customer Sector'!$F$23&gt;'Customer Calc'!J16,J10*(1+'Customer Sector'!$F$28),0)</f>
        <v>10353.766274999996</v>
      </c>
      <c r="L10" s="36">
        <f ca="1">IF('Customer Sector'!$F$23&gt;'Customer Calc'!K16,K10*(1+'Customer Sector'!$F$28),0)</f>
        <v>10405.535106374995</v>
      </c>
      <c r="M10" s="36">
        <f ca="1">IF('Customer Sector'!$F$23&gt;'Customer Calc'!L16,L10*(1+'Customer Sector'!$F$28),0)</f>
        <v>10457.562781906869</v>
      </c>
      <c r="N10" s="36">
        <f ca="1">IF('Customer Sector'!$F$23&gt;'Customer Calc'!M16,M10*(1+'Customer Sector'!$F$28),0)</f>
        <v>10509.850595816402</v>
      </c>
      <c r="O10" s="36">
        <f ca="1">IF('Customer Sector'!$F$23&gt;'Customer Calc'!N16,N10*(1+'Customer Sector'!$F$28),0)</f>
        <v>10562.399848795483</v>
      </c>
      <c r="P10" s="36">
        <f ca="1">IF('Customer Sector'!$F$23&gt;'Customer Calc'!O16,O10*(1+'Customer Sector'!$F$28),0)</f>
        <v>10615.21184803946</v>
      </c>
      <c r="Q10" s="36">
        <f ca="1">IF('Customer Sector'!$F$23&gt;'Customer Calc'!P16,P10*(1+'Customer Sector'!$F$28),0)</f>
        <v>10668.287907279657</v>
      </c>
      <c r="R10" s="306"/>
      <c r="S10" s="306"/>
      <c r="T10" s="306"/>
      <c r="U10" s="306"/>
      <c r="V10" s="306"/>
      <c r="W10" s="306"/>
      <c r="X10" s="306"/>
      <c r="Y10" s="306"/>
      <c r="Z10" s="306"/>
      <c r="AA10" s="306"/>
      <c r="AB10" s="306"/>
      <c r="AC10" s="306"/>
      <c r="AD10" s="306"/>
      <c r="AE10" s="306"/>
      <c r="AF10" s="315"/>
      <c r="AH10" s="90" t="s">
        <v>446</v>
      </c>
      <c r="AI10" s="91"/>
      <c r="AJ10" s="91"/>
      <c r="AK10" s="91"/>
      <c r="AL10" s="295" t="s">
        <v>79</v>
      </c>
      <c r="AM10" s="95">
        <v>0</v>
      </c>
      <c r="AN10" s="36">
        <f>'Customer Sector'!L27</f>
        <v>55348</v>
      </c>
      <c r="AO10" s="36">
        <f>AN10*(1+'Customer Sector'!$L$28)</f>
        <v>56067.523999999998</v>
      </c>
      <c r="AP10" s="36">
        <f>AO10*(1+'Customer Sector'!$L$28)</f>
        <v>56796.401811999989</v>
      </c>
      <c r="AQ10" s="36">
        <f>AP10*(1+'Customer Sector'!$L$28)</f>
        <v>57534.755035555987</v>
      </c>
      <c r="AR10" s="36">
        <f>AQ10*(1+'Customer Sector'!$L$28)</f>
        <v>58282.706851018207</v>
      </c>
      <c r="AS10" s="36">
        <f>AR10*(1+'Customer Sector'!$L$28)</f>
        <v>59040.382040081437</v>
      </c>
      <c r="AT10" s="36">
        <f>AS10*(1+'Customer Sector'!$L$28)</f>
        <v>59807.907006602487</v>
      </c>
      <c r="AU10" s="36">
        <f>AT10*(1+'Customer Sector'!$L$28)</f>
        <v>60585.409797688313</v>
      </c>
      <c r="AV10" s="36">
        <f>AU10*(1+'Customer Sector'!$L$28)</f>
        <v>61373.020125058254</v>
      </c>
      <c r="AW10" s="36">
        <f>AV10*(1+'Customer Sector'!$L$28)</f>
        <v>62170.869386684004</v>
      </c>
      <c r="AX10" s="306"/>
      <c r="AY10" s="306"/>
      <c r="AZ10" s="306"/>
      <c r="BA10" s="306"/>
      <c r="BB10" s="306"/>
      <c r="BC10" s="306"/>
      <c r="BD10" s="306"/>
      <c r="BE10" s="306"/>
      <c r="BF10" s="306"/>
      <c r="BG10" s="306"/>
      <c r="BH10" s="306"/>
      <c r="BI10" s="306"/>
      <c r="BJ10" s="306"/>
      <c r="BK10" s="306"/>
      <c r="BL10" s="315"/>
      <c r="BN10" s="4" t="s">
        <v>453</v>
      </c>
      <c r="BO10" s="5"/>
      <c r="BP10" s="5"/>
      <c r="BQ10" s="12" t="s">
        <v>19</v>
      </c>
      <c r="BR10" s="48">
        <f>BR11+BR12</f>
        <v>0</v>
      </c>
      <c r="BS10" s="48">
        <f t="shared" ref="BS10:CB10" si="3">BS11+BS12</f>
        <v>2109423395.9484332</v>
      </c>
      <c r="BT10" s="48">
        <f t="shared" si="3"/>
        <v>2065461740.3268778</v>
      </c>
      <c r="BU10" s="48">
        <f t="shared" si="3"/>
        <v>2023244013.304122</v>
      </c>
      <c r="BV10" s="48">
        <f t="shared" si="3"/>
        <v>1982669761.245018</v>
      </c>
      <c r="BW10" s="48">
        <f t="shared" si="3"/>
        <v>1943644937.5704405</v>
      </c>
      <c r="BX10" s="48">
        <f t="shared" si="3"/>
        <v>1906081485.6223099</v>
      </c>
      <c r="BY10" s="48">
        <f t="shared" si="3"/>
        <v>1869896948.7911744</v>
      </c>
      <c r="BZ10" s="48">
        <f t="shared" si="3"/>
        <v>1835014106.1232815</v>
      </c>
      <c r="CA10" s="48">
        <f t="shared" si="3"/>
        <v>1801360631.7407389</v>
      </c>
      <c r="CB10" s="48">
        <f t="shared" si="3"/>
        <v>1768868776.5173178</v>
      </c>
      <c r="CC10" s="465"/>
      <c r="CD10" s="465"/>
      <c r="CE10" s="465"/>
      <c r="CF10" s="465"/>
      <c r="CG10" s="465"/>
      <c r="CH10" s="465"/>
      <c r="CI10" s="465"/>
      <c r="CJ10" s="465"/>
      <c r="CK10" s="465"/>
      <c r="CL10" s="465"/>
      <c r="CM10" s="465"/>
      <c r="CN10" s="465"/>
      <c r="CO10" s="465"/>
      <c r="CP10" s="465"/>
      <c r="CQ10" s="466"/>
    </row>
    <row r="11" spans="2:95" x14ac:dyDescent="0.25">
      <c r="B11" s="92" t="s">
        <v>224</v>
      </c>
      <c r="C11" s="93"/>
      <c r="D11" s="93"/>
      <c r="E11" s="93"/>
      <c r="F11" s="296" t="s">
        <v>18</v>
      </c>
      <c r="G11" s="294">
        <v>0</v>
      </c>
      <c r="H11" s="238">
        <f>'Customer Sector'!F83</f>
        <v>0</v>
      </c>
      <c r="I11" s="238">
        <f>IF(I15&lt;='Customer Sector'!$F$23,H11*(1+'Customer Sector'!$F$85),0)</f>
        <v>0</v>
      </c>
      <c r="J11" s="238">
        <f>IF(J15&lt;='Customer Sector'!$F$23,I11*(1+'Customer Sector'!$F$85),0)</f>
        <v>0</v>
      </c>
      <c r="K11" s="238">
        <f>IF(K15&lt;='Customer Sector'!$F$23,J11*(1+'Customer Sector'!$F$85),0)</f>
        <v>0</v>
      </c>
      <c r="L11" s="238">
        <f>IF(L15&lt;='Customer Sector'!$F$23,K11*(1+'Customer Sector'!$F$85),0)</f>
        <v>0</v>
      </c>
      <c r="M11" s="238">
        <f>IF(M15&lt;='Customer Sector'!$F$23,L11*(1+'Customer Sector'!$F$85),0)</f>
        <v>0</v>
      </c>
      <c r="N11" s="238">
        <f>IF(N15&lt;='Customer Sector'!$F$23,M11*(1+'Customer Sector'!$F$85),0)</f>
        <v>0</v>
      </c>
      <c r="O11" s="238">
        <f>IF(O15&lt;='Customer Sector'!$F$23,N11*(1+'Customer Sector'!$F$85),0)</f>
        <v>0</v>
      </c>
      <c r="P11" s="238">
        <f>IF(P15&lt;='Customer Sector'!$F$23,O11*(1+'Customer Sector'!$F$85),0)</f>
        <v>0</v>
      </c>
      <c r="Q11" s="238">
        <f>IF(Q15&lt;='Customer Sector'!$F$23,P11*(1+'Customer Sector'!$F$85),0)</f>
        <v>0</v>
      </c>
      <c r="R11" s="307"/>
      <c r="S11" s="307"/>
      <c r="T11" s="307"/>
      <c r="U11" s="307"/>
      <c r="V11" s="307"/>
      <c r="W11" s="307"/>
      <c r="X11" s="307"/>
      <c r="Y11" s="307"/>
      <c r="Z11" s="307"/>
      <c r="AA11" s="307"/>
      <c r="AB11" s="307"/>
      <c r="AC11" s="307"/>
      <c r="AD11" s="307"/>
      <c r="AE11" s="307"/>
      <c r="AF11" s="316"/>
      <c r="AH11" s="92" t="s">
        <v>224</v>
      </c>
      <c r="AI11" s="93"/>
      <c r="AJ11" s="93"/>
      <c r="AK11" s="93"/>
      <c r="AL11" s="296" t="s">
        <v>18</v>
      </c>
      <c r="AM11" s="96">
        <v>0</v>
      </c>
      <c r="AN11" s="238">
        <f>'Customer Sector'!L83</f>
        <v>0</v>
      </c>
      <c r="AO11" s="238">
        <f>IF(AO15&lt;='Customer Sector'!$L$23,AN11*(1+'Customer Sector'!$L$85),0)</f>
        <v>0</v>
      </c>
      <c r="AP11" s="238">
        <f>IF(AP15&lt;='Customer Sector'!$L$23,AO11*(1+'Customer Sector'!$L$85),0)</f>
        <v>0</v>
      </c>
      <c r="AQ11" s="238">
        <f>IF(AQ15&lt;='Customer Sector'!$L$23,AP11*(1+'Customer Sector'!$L$85),0)</f>
        <v>0</v>
      </c>
      <c r="AR11" s="238">
        <f>IF(AR15&lt;='Customer Sector'!$L$23,AQ11*(1+'Customer Sector'!$L$85),0)</f>
        <v>0</v>
      </c>
      <c r="AS11" s="238">
        <f>IF(AS15&lt;='Customer Sector'!$L$23,AR11*(1+'Customer Sector'!$L$85),0)</f>
        <v>0</v>
      </c>
      <c r="AT11" s="238">
        <f>IF(AT15&lt;='Customer Sector'!$L$23,AS11*(1+'Customer Sector'!$L$85),0)</f>
        <v>0</v>
      </c>
      <c r="AU11" s="238">
        <f>IF(AU15&lt;='Customer Sector'!$L$23,AT11*(1+'Customer Sector'!$L$85),0)</f>
        <v>0</v>
      </c>
      <c r="AV11" s="238">
        <f>IF(AV15&lt;='Customer Sector'!$L$23,AU11*(1+'Customer Sector'!$L$85),0)</f>
        <v>0</v>
      </c>
      <c r="AW11" s="238">
        <f>IF(AW15&lt;='Customer Sector'!$L$23,AV11*(1+'Customer Sector'!$L$85),0)</f>
        <v>0</v>
      </c>
      <c r="AX11" s="307"/>
      <c r="AY11" s="307"/>
      <c r="AZ11" s="307"/>
      <c r="BA11" s="307"/>
      <c r="BB11" s="307"/>
      <c r="BC11" s="307"/>
      <c r="BD11" s="307"/>
      <c r="BE11" s="307"/>
      <c r="BF11" s="307"/>
      <c r="BG11" s="307"/>
      <c r="BH11" s="307"/>
      <c r="BI11" s="307"/>
      <c r="BJ11" s="307"/>
      <c r="BK11" s="307"/>
      <c r="BL11" s="316"/>
      <c r="BN11" s="4"/>
      <c r="BO11" s="5" t="s">
        <v>454</v>
      </c>
      <c r="BP11" s="5"/>
      <c r="BQ11" s="12" t="s">
        <v>19</v>
      </c>
      <c r="BR11" s="48">
        <f>G123</f>
        <v>0</v>
      </c>
      <c r="BS11" s="48">
        <f t="shared" ref="BS11:CB11" si="4">H123</f>
        <v>347913666.4363265</v>
      </c>
      <c r="BT11" s="48">
        <f t="shared" si="4"/>
        <v>325155368.67000991</v>
      </c>
      <c r="BU11" s="48">
        <f t="shared" si="4"/>
        <v>303885773.89867926</v>
      </c>
      <c r="BV11" s="48">
        <f t="shared" si="4"/>
        <v>284007500.64723325</v>
      </c>
      <c r="BW11" s="48">
        <f t="shared" si="4"/>
        <v>265429537.51688859</v>
      </c>
      <c r="BX11" s="48">
        <f t="shared" si="4"/>
        <v>248066826.49532941</v>
      </c>
      <c r="BY11" s="48">
        <f t="shared" si="4"/>
        <v>231839873.52405503</v>
      </c>
      <c r="BZ11" s="48">
        <f t="shared" si="4"/>
        <v>216674384.53993297</v>
      </c>
      <c r="CA11" s="48">
        <f t="shared" si="4"/>
        <v>202500925.32459727</v>
      </c>
      <c r="CB11" s="48">
        <f t="shared" si="4"/>
        <v>189254603.60433424</v>
      </c>
      <c r="CC11" s="467"/>
      <c r="CD11" s="465"/>
      <c r="CE11" s="465"/>
      <c r="CF11" s="465"/>
      <c r="CG11" s="465"/>
      <c r="CH11" s="465"/>
      <c r="CI11" s="465"/>
      <c r="CJ11" s="465"/>
      <c r="CK11" s="465"/>
      <c r="CL11" s="465"/>
      <c r="CM11" s="465"/>
      <c r="CN11" s="465"/>
      <c r="CO11" s="465"/>
      <c r="CP11" s="465"/>
      <c r="CQ11" s="466"/>
    </row>
    <row r="12" spans="2:95" x14ac:dyDescent="0.25">
      <c r="B12" s="89"/>
      <c r="C12" s="89"/>
      <c r="D12" s="89"/>
      <c r="E12" s="89"/>
      <c r="F12" s="701"/>
      <c r="G12" s="699"/>
      <c r="H12" s="699"/>
      <c r="AH12" s="89"/>
      <c r="AI12" s="89"/>
      <c r="AJ12" s="89"/>
      <c r="AK12" s="89"/>
      <c r="AL12" s="701"/>
      <c r="AM12" s="699"/>
      <c r="AN12" s="699"/>
      <c r="BN12" s="6"/>
      <c r="BO12" s="7" t="s">
        <v>455</v>
      </c>
      <c r="BP12" s="7"/>
      <c r="BQ12" s="13" t="s">
        <v>19</v>
      </c>
      <c r="BR12" s="455">
        <f>AM123</f>
        <v>0</v>
      </c>
      <c r="BS12" s="455">
        <f t="shared" ref="BS12:CB12" si="5">AN123</f>
        <v>1761509729.5121067</v>
      </c>
      <c r="BT12" s="455">
        <f t="shared" si="5"/>
        <v>1740306371.656868</v>
      </c>
      <c r="BU12" s="455">
        <f t="shared" si="5"/>
        <v>1719358239.4054427</v>
      </c>
      <c r="BV12" s="455">
        <f t="shared" si="5"/>
        <v>1698662260.5977848</v>
      </c>
      <c r="BW12" s="455">
        <f t="shared" si="5"/>
        <v>1678215400.0535519</v>
      </c>
      <c r="BX12" s="455">
        <f t="shared" si="5"/>
        <v>1658014659.1269805</v>
      </c>
      <c r="BY12" s="455">
        <f t="shared" si="5"/>
        <v>1638057075.2671194</v>
      </c>
      <c r="BZ12" s="455">
        <f t="shared" si="5"/>
        <v>1618339721.5833485</v>
      </c>
      <c r="CA12" s="455">
        <f t="shared" si="5"/>
        <v>1598859706.4161415</v>
      </c>
      <c r="CB12" s="455">
        <f t="shared" si="5"/>
        <v>1579614172.9129837</v>
      </c>
      <c r="CC12" s="468"/>
      <c r="CD12" s="469"/>
      <c r="CE12" s="469"/>
      <c r="CF12" s="469"/>
      <c r="CG12" s="469"/>
      <c r="CH12" s="469"/>
      <c r="CI12" s="469"/>
      <c r="CJ12" s="469"/>
      <c r="CK12" s="469"/>
      <c r="CL12" s="469"/>
      <c r="CM12" s="469"/>
      <c r="CN12" s="469"/>
      <c r="CO12" s="469"/>
      <c r="CP12" s="469"/>
      <c r="CQ12" s="470"/>
    </row>
    <row r="13" spans="2:95" x14ac:dyDescent="0.25">
      <c r="B13" s="738" t="s">
        <v>64</v>
      </c>
      <c r="C13" s="739"/>
      <c r="D13" s="739"/>
      <c r="E13" s="739"/>
      <c r="F13" s="739"/>
      <c r="G13" s="739"/>
      <c r="H13" s="739"/>
      <c r="I13" s="739"/>
      <c r="J13" s="739"/>
      <c r="K13" s="739"/>
      <c r="L13" s="739"/>
      <c r="M13" s="211"/>
      <c r="N13" s="211"/>
      <c r="O13" s="211"/>
      <c r="P13" s="211"/>
      <c r="Q13" s="212"/>
      <c r="AH13" s="738" t="s">
        <v>64</v>
      </c>
      <c r="AI13" s="739"/>
      <c r="AJ13" s="739"/>
      <c r="AK13" s="739"/>
      <c r="AL13" s="739"/>
      <c r="AM13" s="739"/>
      <c r="AN13" s="739"/>
      <c r="AO13" s="739"/>
      <c r="AP13" s="739"/>
      <c r="AQ13" s="739"/>
      <c r="AR13" s="739"/>
      <c r="AS13" s="211"/>
      <c r="AT13" s="211"/>
      <c r="AU13" s="211"/>
      <c r="AV13" s="211"/>
      <c r="AW13" s="212"/>
      <c r="BN13" s="31" t="s">
        <v>202</v>
      </c>
      <c r="BO13" s="32"/>
      <c r="BP13" s="32"/>
      <c r="BQ13" s="109" t="s">
        <v>7</v>
      </c>
      <c r="BR13" s="255">
        <f t="shared" ref="BR13:CQ13" si="6">( (G161*BR8) + (AM161*BR9) )/BR7</f>
        <v>0</v>
      </c>
      <c r="BS13" s="255">
        <f t="shared" ca="1" si="6"/>
        <v>5.3086580008804085E-3</v>
      </c>
      <c r="BT13" s="255">
        <f t="shared" ca="1" si="6"/>
        <v>6.4927046480437265E-3</v>
      </c>
      <c r="BU13" s="255">
        <f t="shared" ca="1" si="6"/>
        <v>7.6367179721012054E-3</v>
      </c>
      <c r="BV13" s="255">
        <f t="shared" ca="1" si="6"/>
        <v>8.7412334509453446E-3</v>
      </c>
      <c r="BW13" s="255">
        <f t="shared" ca="1" si="6"/>
        <v>9.8070075402917761E-3</v>
      </c>
      <c r="BX13" s="255">
        <f t="shared" ca="1" si="6"/>
        <v>1.0835003485782582E-2</v>
      </c>
      <c r="BY13" s="255">
        <f t="shared" ca="1" si="6"/>
        <v>1.1826375531982406E-2</v>
      </c>
      <c r="BZ13" s="255">
        <f t="shared" ca="1" si="6"/>
        <v>1.278245179191001E-2</v>
      </c>
      <c r="CA13" s="255">
        <f t="shared" ca="1" si="6"/>
        <v>1.370471601955763E-2</v>
      </c>
      <c r="CB13" s="255">
        <f t="shared" ca="1" si="6"/>
        <v>1.4594788495056483E-2</v>
      </c>
      <c r="CC13" s="255">
        <f t="shared" ca="1" si="6"/>
        <v>1.2601193569233147E-2</v>
      </c>
      <c r="CD13" s="255">
        <f t="shared" ca="1" si="6"/>
        <v>1.2153823417316018E-2</v>
      </c>
      <c r="CE13" s="255">
        <f t="shared" ca="1" si="6"/>
        <v>1.1722559616909531E-2</v>
      </c>
      <c r="CF13" s="255">
        <f t="shared" ca="1" si="6"/>
        <v>1.1307180656066449E-2</v>
      </c>
      <c r="CG13" s="255">
        <f t="shared" ca="1" si="6"/>
        <v>1.0907422020940303E-2</v>
      </c>
      <c r="CH13" s="255">
        <f t="shared" ca="1" si="6"/>
        <v>1.0522981348337764E-2</v>
      </c>
      <c r="CI13" s="255">
        <f t="shared" ca="1" si="6"/>
        <v>1.0153523400043855E-2</v>
      </c>
      <c r="CJ13" s="255">
        <f t="shared" ca="1" si="6"/>
        <v>9.7986848237259245E-3</v>
      </c>
      <c r="CK13" s="255">
        <f t="shared" ca="1" si="6"/>
        <v>9.4580786726287547E-3</v>
      </c>
      <c r="CL13" s="255">
        <f t="shared" ca="1" si="6"/>
        <v>9.1312986630254275E-3</v>
      </c>
      <c r="CM13" s="255">
        <f t="shared" ca="1" si="6"/>
        <v>8.817923154480831E-3</v>
      </c>
      <c r="CN13" s="255">
        <f t="shared" ca="1" si="6"/>
        <v>8.51751884343252E-3</v>
      </c>
      <c r="CO13" s="255">
        <f t="shared" ca="1" si="6"/>
        <v>8.2296441654156147E-3</v>
      </c>
      <c r="CP13" s="255">
        <f t="shared" ca="1" si="6"/>
        <v>7.9538524054760633E-3</v>
      </c>
      <c r="CQ13" s="256">
        <f t="shared" ca="1" si="6"/>
        <v>7.6896945199476461E-3</v>
      </c>
    </row>
    <row r="14" spans="2:95" x14ac:dyDescent="0.25">
      <c r="B14" s="734" t="s">
        <v>3</v>
      </c>
      <c r="C14" s="735"/>
      <c r="D14" s="735"/>
      <c r="E14" s="735"/>
      <c r="F14" s="735" t="s">
        <v>4</v>
      </c>
      <c r="G14" s="74" t="s">
        <v>24</v>
      </c>
      <c r="H14" s="74" t="s">
        <v>0</v>
      </c>
      <c r="I14" s="74" t="s">
        <v>1</v>
      </c>
      <c r="J14" s="74" t="s">
        <v>9</v>
      </c>
      <c r="K14" s="74" t="s">
        <v>10</v>
      </c>
      <c r="L14" s="74" t="s">
        <v>11</v>
      </c>
      <c r="M14" s="74" t="s">
        <v>12</v>
      </c>
      <c r="N14" s="74" t="s">
        <v>13</v>
      </c>
      <c r="O14" s="74" t="s">
        <v>14</v>
      </c>
      <c r="P14" s="74" t="s">
        <v>15</v>
      </c>
      <c r="Q14" s="74" t="s">
        <v>16</v>
      </c>
      <c r="R14" s="74" t="s">
        <v>39</v>
      </c>
      <c r="S14" s="74" t="s">
        <v>41</v>
      </c>
      <c r="T14" s="74" t="s">
        <v>42</v>
      </c>
      <c r="U14" s="74" t="s">
        <v>43</v>
      </c>
      <c r="V14" s="74" t="s">
        <v>44</v>
      </c>
      <c r="W14" s="74" t="s">
        <v>45</v>
      </c>
      <c r="X14" s="74" t="s">
        <v>46</v>
      </c>
      <c r="Y14" s="74" t="s">
        <v>47</v>
      </c>
      <c r="Z14" s="74" t="s">
        <v>48</v>
      </c>
      <c r="AA14" s="74" t="s">
        <v>49</v>
      </c>
      <c r="AB14" s="74" t="s">
        <v>50</v>
      </c>
      <c r="AC14" s="74" t="s">
        <v>51</v>
      </c>
      <c r="AD14" s="74" t="s">
        <v>52</v>
      </c>
      <c r="AE14" s="74" t="s">
        <v>53</v>
      </c>
      <c r="AF14" s="75" t="s">
        <v>54</v>
      </c>
      <c r="AH14" s="734" t="s">
        <v>3</v>
      </c>
      <c r="AI14" s="735"/>
      <c r="AJ14" s="735"/>
      <c r="AK14" s="735"/>
      <c r="AL14" s="735" t="s">
        <v>4</v>
      </c>
      <c r="AM14" s="74" t="s">
        <v>24</v>
      </c>
      <c r="AN14" s="74" t="s">
        <v>0</v>
      </c>
      <c r="AO14" s="74" t="s">
        <v>1</v>
      </c>
      <c r="AP14" s="74" t="s">
        <v>9</v>
      </c>
      <c r="AQ14" s="74" t="s">
        <v>10</v>
      </c>
      <c r="AR14" s="74" t="s">
        <v>11</v>
      </c>
      <c r="AS14" s="74" t="s">
        <v>12</v>
      </c>
      <c r="AT14" s="74" t="s">
        <v>13</v>
      </c>
      <c r="AU14" s="74" t="s">
        <v>14</v>
      </c>
      <c r="AV14" s="74" t="s">
        <v>15</v>
      </c>
      <c r="AW14" s="74" t="s">
        <v>16</v>
      </c>
      <c r="AX14" s="74" t="s">
        <v>39</v>
      </c>
      <c r="AY14" s="74" t="s">
        <v>41</v>
      </c>
      <c r="AZ14" s="74" t="s">
        <v>42</v>
      </c>
      <c r="BA14" s="74" t="s">
        <v>43</v>
      </c>
      <c r="BB14" s="74" t="s">
        <v>44</v>
      </c>
      <c r="BC14" s="74" t="s">
        <v>45</v>
      </c>
      <c r="BD14" s="74" t="s">
        <v>46</v>
      </c>
      <c r="BE14" s="74" t="s">
        <v>47</v>
      </c>
      <c r="BF14" s="74" t="s">
        <v>48</v>
      </c>
      <c r="BG14" s="74" t="s">
        <v>49</v>
      </c>
      <c r="BH14" s="74" t="s">
        <v>50</v>
      </c>
      <c r="BI14" s="74" t="s">
        <v>51</v>
      </c>
      <c r="BJ14" s="74" t="s">
        <v>52</v>
      </c>
      <c r="BK14" s="74" t="s">
        <v>53</v>
      </c>
      <c r="BL14" s="75" t="s">
        <v>54</v>
      </c>
      <c r="BN14" s="4" t="s">
        <v>361</v>
      </c>
      <c r="BO14" s="5"/>
      <c r="BP14" s="5"/>
      <c r="BQ14" s="12"/>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167"/>
    </row>
    <row r="15" spans="2:95" x14ac:dyDescent="0.25">
      <c r="B15" s="736"/>
      <c r="C15" s="737"/>
      <c r="D15" s="737"/>
      <c r="E15" s="737"/>
      <c r="F15" s="737"/>
      <c r="G15" s="101">
        <v>0</v>
      </c>
      <c r="H15" s="101">
        <v>1</v>
      </c>
      <c r="I15" s="101">
        <v>2</v>
      </c>
      <c r="J15" s="101">
        <v>3</v>
      </c>
      <c r="K15" s="101">
        <v>4</v>
      </c>
      <c r="L15" s="101">
        <v>5</v>
      </c>
      <c r="M15" s="101">
        <v>6</v>
      </c>
      <c r="N15" s="101">
        <v>7</v>
      </c>
      <c r="O15" s="101">
        <v>8</v>
      </c>
      <c r="P15" s="101">
        <v>9</v>
      </c>
      <c r="Q15" s="101">
        <v>10</v>
      </c>
      <c r="R15" s="101">
        <v>11</v>
      </c>
      <c r="S15" s="101">
        <v>12</v>
      </c>
      <c r="T15" s="101">
        <v>13</v>
      </c>
      <c r="U15" s="101">
        <v>14</v>
      </c>
      <c r="V15" s="101">
        <v>15</v>
      </c>
      <c r="W15" s="101">
        <v>16</v>
      </c>
      <c r="X15" s="101">
        <v>17</v>
      </c>
      <c r="Y15" s="101">
        <v>18</v>
      </c>
      <c r="Z15" s="101">
        <v>19</v>
      </c>
      <c r="AA15" s="101">
        <v>20</v>
      </c>
      <c r="AB15" s="101">
        <v>21</v>
      </c>
      <c r="AC15" s="101">
        <v>22</v>
      </c>
      <c r="AD15" s="101">
        <v>23</v>
      </c>
      <c r="AE15" s="101">
        <v>24</v>
      </c>
      <c r="AF15" s="102">
        <v>25</v>
      </c>
      <c r="AH15" s="736"/>
      <c r="AI15" s="737"/>
      <c r="AJ15" s="737"/>
      <c r="AK15" s="737"/>
      <c r="AL15" s="737"/>
      <c r="AM15" s="101">
        <v>0</v>
      </c>
      <c r="AN15" s="101">
        <v>1</v>
      </c>
      <c r="AO15" s="101">
        <v>2</v>
      </c>
      <c r="AP15" s="101">
        <v>3</v>
      </c>
      <c r="AQ15" s="101">
        <v>4</v>
      </c>
      <c r="AR15" s="101">
        <v>5</v>
      </c>
      <c r="AS15" s="101">
        <v>6</v>
      </c>
      <c r="AT15" s="101">
        <v>7</v>
      </c>
      <c r="AU15" s="101">
        <v>8</v>
      </c>
      <c r="AV15" s="101">
        <v>9</v>
      </c>
      <c r="AW15" s="101">
        <v>10</v>
      </c>
      <c r="AX15" s="101">
        <v>11</v>
      </c>
      <c r="AY15" s="101">
        <v>12</v>
      </c>
      <c r="AZ15" s="101">
        <v>13</v>
      </c>
      <c r="BA15" s="101">
        <v>14</v>
      </c>
      <c r="BB15" s="101">
        <v>15</v>
      </c>
      <c r="BC15" s="101">
        <v>16</v>
      </c>
      <c r="BD15" s="101">
        <v>17</v>
      </c>
      <c r="BE15" s="101">
        <v>18</v>
      </c>
      <c r="BF15" s="101">
        <v>19</v>
      </c>
      <c r="BG15" s="101">
        <v>20</v>
      </c>
      <c r="BH15" s="101">
        <v>21</v>
      </c>
      <c r="BI15" s="101">
        <v>22</v>
      </c>
      <c r="BJ15" s="101">
        <v>23</v>
      </c>
      <c r="BK15" s="101">
        <v>24</v>
      </c>
      <c r="BL15" s="102">
        <v>25</v>
      </c>
      <c r="BN15" s="4"/>
      <c r="BO15" s="5" t="s">
        <v>362</v>
      </c>
      <c r="BP15" s="5"/>
      <c r="BQ15" s="12" t="s">
        <v>6</v>
      </c>
      <c r="BR15" s="68">
        <f t="shared" ref="BR15:CA16" si="7">( (G163*BR$8) + (AM163*BR$9) )/BR$7</f>
        <v>8.0266867776096512E-2</v>
      </c>
      <c r="BS15" s="68">
        <f t="shared" ca="1" si="7"/>
        <v>8.3886717474386474E-2</v>
      </c>
      <c r="BT15" s="68">
        <f t="shared" ca="1" si="7"/>
        <v>8.6966819349808849E-2</v>
      </c>
      <c r="BU15" s="68">
        <f t="shared" ca="1" si="7"/>
        <v>9.0260561268937084E-2</v>
      </c>
      <c r="BV15" s="68">
        <f t="shared" ca="1" si="7"/>
        <v>9.3781396198101732E-2</v>
      </c>
      <c r="BW15" s="68">
        <f t="shared" ca="1" si="7"/>
        <v>9.7543656980153992E-2</v>
      </c>
      <c r="BX15" s="68">
        <f t="shared" ca="1" si="7"/>
        <v>0.10156261583314803</v>
      </c>
      <c r="BY15" s="68">
        <f t="shared" ca="1" si="7"/>
        <v>0.10585454817260814</v>
      </c>
      <c r="BZ15" s="68">
        <f t="shared" ca="1" si="7"/>
        <v>0.1104368011212627</v>
      </c>
      <c r="CA15" s="68">
        <f t="shared" ca="1" si="7"/>
        <v>0.11532786710977491</v>
      </c>
      <c r="CB15" s="68">
        <f t="shared" ref="CB15:CK16" ca="1" si="8">( (Q163*CB$8) + (AW163*CB$9) )/CB$7</f>
        <v>0.12054746301762737</v>
      </c>
      <c r="CC15" s="68">
        <f t="shared" ca="1" si="8"/>
        <v>0.12603538286599844</v>
      </c>
      <c r="CD15" s="68">
        <f t="shared" ca="1" si="8"/>
        <v>0.13188544889398765</v>
      </c>
      <c r="CE15" s="68">
        <f t="shared" ca="1" si="8"/>
        <v>0.13812040199990999</v>
      </c>
      <c r="CF15" s="68">
        <f t="shared" ca="1" si="8"/>
        <v>0.14476442967611663</v>
      </c>
      <c r="CG15" s="68">
        <f t="shared" ca="1" si="8"/>
        <v>0.15184325831684642</v>
      </c>
      <c r="CH15" s="68">
        <f t="shared" ca="1" si="8"/>
        <v>0.1593842514337209</v>
      </c>
      <c r="CI15" s="68">
        <f t="shared" ca="1" si="8"/>
        <v>0.1674165141578286</v>
      </c>
      <c r="CJ15" s="68">
        <f t="shared" ca="1" si="8"/>
        <v>0.17597100443172681</v>
      </c>
      <c r="CK15" s="68">
        <f t="shared" ca="1" si="8"/>
        <v>0.18508065132064358</v>
      </c>
      <c r="CL15" s="68">
        <f t="shared" ref="CL15:CQ16" ca="1" si="9">( (AA163*CL$8) + (BG163*CL$9) )/CL$7</f>
        <v>0.19478048089979594</v>
      </c>
      <c r="CM15" s="68">
        <f t="shared" ca="1" si="9"/>
        <v>0.20510775020415539</v>
      </c>
      <c r="CN15" s="68">
        <f t="shared" ca="1" si="9"/>
        <v>0.21610208975830933</v>
      </c>
      <c r="CO15" s="68">
        <f t="shared" ca="1" si="9"/>
        <v>0.22780565523740146</v>
      </c>
      <c r="CP15" s="68">
        <f t="shared" ca="1" si="9"/>
        <v>0.24026328884562687</v>
      </c>
      <c r="CQ15" s="69">
        <f t="shared" ca="1" si="9"/>
        <v>0.25352269103653241</v>
      </c>
    </row>
    <row r="16" spans="2:95" x14ac:dyDescent="0.25">
      <c r="B16" s="8" t="s">
        <v>190</v>
      </c>
      <c r="C16" s="9"/>
      <c r="D16" s="9"/>
      <c r="E16" s="9"/>
      <c r="F16" s="17" t="s">
        <v>8</v>
      </c>
      <c r="G16" s="115">
        <f>G17</f>
        <v>0.12</v>
      </c>
      <c r="H16" s="115">
        <f ca="1">IF(G88=1,AVERAGE(OFFSET(H17,0,0,1,'Utility Sector'!$E$84)),G16)</f>
        <v>0.12516901600758026</v>
      </c>
      <c r="I16" s="115">
        <f ca="1">IF(H88=1,AVERAGE(OFFSET(I17,0,0,1,'Utility Sector'!$E$84)),H16)</f>
        <v>0.12859014786342932</v>
      </c>
      <c r="J16" s="115">
        <f ca="1">IF(I88=1,AVERAGE(OFFSET(J17,0,0,1,'Utility Sector'!$E$84)),I16)</f>
        <v>0.13225119914264652</v>
      </c>
      <c r="K16" s="115">
        <f ca="1">IF(J88=1,AVERAGE(OFFSET(K17,0,0,1,'Utility Sector'!$E$84)),J16)</f>
        <v>0.13616650660240781</v>
      </c>
      <c r="L16" s="115">
        <f ca="1">IF(K88=1,AVERAGE(OFFSET(L17,0,0,1,'Utility Sector'!$E$84)),K16)</f>
        <v>0.14035126994722327</v>
      </c>
      <c r="M16" s="115">
        <f ca="1">IF(L88=1,AVERAGE(OFFSET(M17,0,0,1,'Utility Sector'!$E$84)),L16)</f>
        <v>0.14482160111909095</v>
      </c>
      <c r="N16" s="115">
        <f ca="1">IF(M88=1,AVERAGE(OFFSET(N17,0,0,1,'Utility Sector'!$E$84)),M16)</f>
        <v>0.14959457586464178</v>
      </c>
      <c r="O16" s="115">
        <f ca="1">IF(N88=1,AVERAGE(OFFSET(O17,0,0,1,'Utility Sector'!$E$84)),N16)</f>
        <v>0.15468828756339648</v>
      </c>
      <c r="P16" s="115">
        <f ca="1">IF(O88=1,AVERAGE(OFFSET(P17,0,0,1,'Utility Sector'!$E$84)),O16)</f>
        <v>0.16012190326560824</v>
      </c>
      <c r="Q16" s="115">
        <f ca="1">IF(P88=1,AVERAGE(OFFSET(Q17,0,0,1,'Utility Sector'!$E$84)),P16)</f>
        <v>0.16591572184181186</v>
      </c>
      <c r="R16" s="115">
        <f ca="1">IF(Q88=1,AVERAGE(OFFSET(R17,0,0,1,'Utility Sector'!$E$84)),Q16)</f>
        <v>0.17157041198162454</v>
      </c>
      <c r="S16" s="115">
        <f ca="1">IF(R88=1,AVERAGE(OFFSET(S17,0,0,1,'Utility Sector'!$E$84)),R16)</f>
        <v>0.17800298950878388</v>
      </c>
      <c r="T16" s="115">
        <f ca="1">IF(S88=1,AVERAGE(OFFSET(T17,0,0,1,'Utility Sector'!$E$84)),S16)</f>
        <v>0.18486778649486579</v>
      </c>
      <c r="U16" s="115">
        <f ca="1">IF(T88=1,AVERAGE(OFFSET(U17,0,0,1,'Utility Sector'!$E$84)),T16)</f>
        <v>0.19219106919892717</v>
      </c>
      <c r="V16" s="115">
        <f ca="1">IF(U88=1,AVERAGE(OFFSET(V17,0,0,1,'Utility Sector'!$E$84)),U16)</f>
        <v>0.20000074678724175</v>
      </c>
      <c r="W16" s="115">
        <f ca="1">IF(V88=1,AVERAGE(OFFSET(W17,0,0,1,'Utility Sector'!$E$84)),V16)</f>
        <v>0.20832647458996334</v>
      </c>
      <c r="X16" s="115">
        <f ca="1">IF(W88=1,AVERAGE(OFFSET(X17,0,0,1,'Utility Sector'!$E$84)),W16)</f>
        <v>0.21719976388649248</v>
      </c>
      <c r="Y16" s="115">
        <f ca="1">IF(X88=1,AVERAGE(OFFSET(Y17,0,0,1,'Utility Sector'!$E$84)),X16)</f>
        <v>0.2266540986342481</v>
      </c>
      <c r="Z16" s="115">
        <f ca="1">IF(Y88=1,AVERAGE(OFFSET(Z17,0,0,1,'Utility Sector'!$E$84)),Y16)</f>
        <v>0.23672505958205037</v>
      </c>
      <c r="AA16" s="115">
        <f ca="1">IF(Z88=1,AVERAGE(OFFSET(AA17,0,0,1,'Utility Sector'!$E$84)),Z16)</f>
        <v>0.24745045623752998</v>
      </c>
      <c r="AB16" s="115">
        <f ca="1">IF(AA88=1,AVERAGE(OFFSET(AB17,0,0,1,'Utility Sector'!$E$84)),AA16)</f>
        <v>0.25887046718800327</v>
      </c>
      <c r="AC16" s="115">
        <f ca="1">IF(AB88=1,AVERAGE(OFFSET(AC17,0,0,1,'Utility Sector'!$E$84)),AB16)</f>
        <v>0.27102778930620658</v>
      </c>
      <c r="AD16" s="115">
        <f ca="1">IF(AC88=1,AVERAGE(OFFSET(AD17,0,0,1,'Utility Sector'!$E$84)),AC16)</f>
        <v>0.2839677964062885</v>
      </c>
      <c r="AE16" s="115">
        <f ca="1">IF(AD88=1,AVERAGE(OFFSET(AE17,0,0,1,'Utility Sector'!$E$84)),AD16)</f>
        <v>0.29773870795165697</v>
      </c>
      <c r="AF16" s="121">
        <f ca="1">IF(AE88=1,AVERAGE(OFFSET(AF17,0,0,1,'Utility Sector'!$E$84)),AE16)</f>
        <v>0.31239176845478556</v>
      </c>
      <c r="AH16" s="8" t="s">
        <v>190</v>
      </c>
      <c r="AI16" s="9"/>
      <c r="AJ16" s="9"/>
      <c r="AK16" s="9"/>
      <c r="AL16" s="17" t="s">
        <v>8</v>
      </c>
      <c r="AM16" s="115">
        <f>AM17</f>
        <v>6.1831050228310508E-2</v>
      </c>
      <c r="AN16" s="115">
        <f ca="1">IF(AM88=1,AVERAGE(OFFSET(AN17,0,0,1,'Utility Sector'!$E$84)),AM16)</f>
        <v>6.5306105618383584E-2</v>
      </c>
      <c r="AO16" s="115">
        <f ca="1">IF(AN88=1,AVERAGE(OFFSET(AO17,0,0,1,'Utility Sector'!$E$84)),AN16)</f>
        <v>6.8312267347205774E-2</v>
      </c>
      <c r="AP16" s="115">
        <f ca="1">IF(AO88=1,AVERAGE(OFFSET(AP17,0,0,1,'Utility Sector'!$E$84)),AO16)</f>
        <v>7.1519720756052632E-2</v>
      </c>
      <c r="AQ16" s="115">
        <f ca="1">IF(AP88=1,AVERAGE(OFFSET(AQ17,0,0,1,'Utility Sector'!$E$84)),AP16)</f>
        <v>7.4941489040178666E-2</v>
      </c>
      <c r="AR16" s="115">
        <f ca="1">IF(AQ88=1,AVERAGE(OFFSET(AR17,0,0,1,'Utility Sector'!$E$84)),AQ16)</f>
        <v>7.8591464743321862E-2</v>
      </c>
      <c r="AS16" s="115">
        <f ca="1">IF(AR88=1,AVERAGE(OFFSET(AS17,0,0,1,'Utility Sector'!$E$84)),AR16)</f>
        <v>8.2484470741042412E-2</v>
      </c>
      <c r="AT16" s="115">
        <f ca="1">IF(AS88=1,AVERAGE(OFFSET(AT17,0,0,1,'Utility Sector'!$E$84)),AS16)</f>
        <v>8.6636326002167988E-2</v>
      </c>
      <c r="AU16" s="115">
        <f ca="1">IF(AT88=1,AVERAGE(OFFSET(AU17,0,0,1,'Utility Sector'!$E$84)),AT16)</f>
        <v>9.1063916597289879E-2</v>
      </c>
      <c r="AV16" s="115">
        <f ca="1">IF(AU88=1,AVERAGE(OFFSET(AV17,0,0,1,'Utility Sector'!$E$84)),AU16)</f>
        <v>9.5785272488154716E-2</v>
      </c>
      <c r="AW16" s="115">
        <f ca="1">IF(AV88=1,AVERAGE(OFFSET(AW17,0,0,1,'Utility Sector'!$E$84)),AV16)</f>
        <v>0.1008196507093413</v>
      </c>
      <c r="AX16" s="115">
        <f ca="1">IF(AW88=1,AVERAGE(OFFSET(AX17,0,0,1,'Utility Sector'!$E$84)),AW16)</f>
        <v>0.10590020138524003</v>
      </c>
      <c r="AY16" s="115">
        <f ca="1">IF(AX88=1,AVERAGE(OFFSET(AY17,0,0,1,'Utility Sector'!$E$84)),AX16)</f>
        <v>0.11143716003944902</v>
      </c>
      <c r="AZ16" s="115">
        <f ca="1">IF(AY88=1,AVERAGE(OFFSET(AZ17,0,0,1,'Utility Sector'!$E$84)),AY16)</f>
        <v>0.11733606196175357</v>
      </c>
      <c r="BA16" s="115">
        <f ca="1">IF(AZ88=1,AVERAGE(OFFSET(BA17,0,0,1,'Utility Sector'!$E$84)),AZ16)</f>
        <v>0.12361997787344781</v>
      </c>
      <c r="BB16" s="115">
        <f ca="1">IF(BA88=1,AVERAGE(OFFSET(BB17,0,0,1,'Utility Sector'!$E$84)),BA16)</f>
        <v>0.13031345891777535</v>
      </c>
      <c r="BC16" s="115">
        <f ca="1">IF(BB88=1,AVERAGE(OFFSET(BC17,0,0,1,'Utility Sector'!$E$84)),BB16)</f>
        <v>0.13744263183878086</v>
      </c>
      <c r="BD16" s="115">
        <f ca="1">IF(BC88=1,AVERAGE(OFFSET(BD17,0,0,1,'Utility Sector'!$E$84)),BC16)</f>
        <v>0.14503530028975514</v>
      </c>
      <c r="BE16" s="115">
        <f ca="1">IF(BD88=1,AVERAGE(OFFSET(BE17,0,0,1,'Utility Sector'!$E$84)),BD16)</f>
        <v>0.15312105266655684</v>
      </c>
      <c r="BF16" s="115">
        <f ca="1">IF(BE88=1,AVERAGE(OFFSET(BF17,0,0,1,'Utility Sector'!$E$84)),BE16)</f>
        <v>0.16173137688662714</v>
      </c>
      <c r="BG16" s="115">
        <f ca="1">IF(BF88=1,AVERAGE(OFFSET(BG17,0,0,1,'Utility Sector'!$E$84)),BF16)</f>
        <v>0.17089978256170399</v>
      </c>
      <c r="BH16" s="115">
        <f ca="1">IF(BG88=1,AVERAGE(OFFSET(BH17,0,0,1,'Utility Sector'!$E$84)),BG16)</f>
        <v>0.18066193104118677</v>
      </c>
      <c r="BI16" s="115">
        <f ca="1">IF(BH88=1,AVERAGE(OFFSET(BI17,0,0,1,'Utility Sector'!$E$84)),BH16)</f>
        <v>0.19105577383392508</v>
      </c>
      <c r="BJ16" s="115">
        <f ca="1">IF(BI88=1,AVERAGE(OFFSET(BJ17,0,0,1,'Utility Sector'!$E$84)),BI16)</f>
        <v>0.2021216999490181</v>
      </c>
      <c r="BK16" s="115">
        <f ca="1">IF(BJ88=1,AVERAGE(OFFSET(BK17,0,0,1,'Utility Sector'!$E$84)),BJ16)</f>
        <v>0.21390269273115337</v>
      </c>
      <c r="BL16" s="121">
        <f ca="1">IF(BK88=1,AVERAGE(OFFSET(BL17,0,0,1,'Utility Sector'!$E$84)),BK16)</f>
        <v>0.22644449680320791</v>
      </c>
      <c r="BN16" s="4"/>
      <c r="BO16" s="5" t="s">
        <v>363</v>
      </c>
      <c r="BP16" s="5"/>
      <c r="BQ16" s="12" t="s">
        <v>19</v>
      </c>
      <c r="BR16" s="68">
        <f t="shared" si="7"/>
        <v>8.0266867776096512E-2</v>
      </c>
      <c r="BS16" s="68">
        <f t="shared" ca="1" si="7"/>
        <v>8.4336619630426365E-2</v>
      </c>
      <c r="BT16" s="68">
        <f t="shared" ca="1" si="7"/>
        <v>8.7536450641308369E-2</v>
      </c>
      <c r="BU16" s="68">
        <f t="shared" ca="1" si="7"/>
        <v>9.0954573615958045E-2</v>
      </c>
      <c r="BV16" s="68">
        <f t="shared" ca="1" si="7"/>
        <v>9.4604900851789533E-2</v>
      </c>
      <c r="BW16" s="68">
        <f t="shared" ca="1" si="7"/>
        <v>9.8502262559476902E-2</v>
      </c>
      <c r="BX16" s="68">
        <f t="shared" ca="1" si="7"/>
        <v>0.10266246967561164</v>
      </c>
      <c r="BY16" s="68">
        <f t="shared" ca="1" si="7"/>
        <v>0.107102381247555</v>
      </c>
      <c r="BZ16" s="68">
        <f t="shared" ca="1" si="7"/>
        <v>0.11183997675649929</v>
      </c>
      <c r="CA16" s="68">
        <f t="shared" ca="1" si="7"/>
        <v>0.11689443377736321</v>
      </c>
      <c r="CB16" s="68">
        <f t="shared" ca="1" si="8"/>
        <v>0.12228621140961179</v>
      </c>
      <c r="CC16" s="68">
        <f t="shared" ca="1" si="8"/>
        <v>0.12759050294806609</v>
      </c>
      <c r="CD16" s="68">
        <f t="shared" ca="1" si="8"/>
        <v>0.13345818248265287</v>
      </c>
      <c r="CE16" s="68">
        <f t="shared" ca="1" si="8"/>
        <v>0.1397120582982003</v>
      </c>
      <c r="CF16" s="68">
        <f t="shared" ca="1" si="8"/>
        <v>0.14637637340066109</v>
      </c>
      <c r="CG16" s="68">
        <f t="shared" ca="1" si="8"/>
        <v>0.15347691211822295</v>
      </c>
      <c r="CH16" s="68">
        <f t="shared" ca="1" si="8"/>
        <v>0.16104109840942987</v>
      </c>
      <c r="CI16" s="68">
        <f t="shared" ca="1" si="8"/>
        <v>0.16909810046044388</v>
      </c>
      <c r="CJ16" s="68">
        <f t="shared" ca="1" si="8"/>
        <v>0.17767894197475101</v>
      </c>
      <c r="CK16" s="68">
        <f t="shared" ca="1" si="8"/>
        <v>0.18681662058456056</v>
      </c>
      <c r="CL16" s="68">
        <f t="shared" ca="1" si="9"/>
        <v>0.19654623384076922</v>
      </c>
      <c r="CM16" s="68">
        <f t="shared" ca="1" si="9"/>
        <v>0.20690511326776212</v>
      </c>
      <c r="CN16" s="68">
        <f t="shared" ca="1" si="9"/>
        <v>0.21793296700062684</v>
      </c>
      <c r="CO16" s="68">
        <f t="shared" ca="1" si="9"/>
        <v>0.22967203155567381</v>
      </c>
      <c r="CP16" s="68">
        <f t="shared" ca="1" si="9"/>
        <v>0.24216723332063542</v>
      </c>
      <c r="CQ16" s="69">
        <f t="shared" ca="1" si="9"/>
        <v>0.25546636038866605</v>
      </c>
    </row>
    <row r="17" spans="2:95" x14ac:dyDescent="0.25">
      <c r="B17" s="8"/>
      <c r="C17" s="420" t="s">
        <v>189</v>
      </c>
      <c r="D17" s="404"/>
      <c r="E17" s="404"/>
      <c r="F17" s="52" t="s">
        <v>19</v>
      </c>
      <c r="G17" s="269">
        <f>SUM(G18:G23)</f>
        <v>0.12</v>
      </c>
      <c r="H17" s="269">
        <f t="shared" ref="H17:AF17" si="10">SUM(H18:H23)</f>
        <v>0.12516901600758026</v>
      </c>
      <c r="I17" s="269">
        <f t="shared" ca="1" si="10"/>
        <v>0.12859014786342932</v>
      </c>
      <c r="J17" s="269">
        <f ca="1">SUM(J18:J23)</f>
        <v>0.13225119914264652</v>
      </c>
      <c r="K17" s="269">
        <f t="shared" ca="1" si="10"/>
        <v>0.13616650660240781</v>
      </c>
      <c r="L17" s="269">
        <f t="shared" ca="1" si="10"/>
        <v>0.14035126994722327</v>
      </c>
      <c r="M17" s="269">
        <f t="shared" ca="1" si="10"/>
        <v>0.14482160111909095</v>
      </c>
      <c r="N17" s="269">
        <f t="shared" ca="1" si="10"/>
        <v>0.14959457586464178</v>
      </c>
      <c r="O17" s="269">
        <f t="shared" ca="1" si="10"/>
        <v>0.15468828756339648</v>
      </c>
      <c r="P17" s="269">
        <f t="shared" ca="1" si="10"/>
        <v>0.16012190326560824</v>
      </c>
      <c r="Q17" s="269">
        <f t="shared" ca="1" si="10"/>
        <v>0.16591572184181186</v>
      </c>
      <c r="R17" s="269">
        <f t="shared" si="10"/>
        <v>0.17157041198162454</v>
      </c>
      <c r="S17" s="269">
        <f t="shared" si="10"/>
        <v>0.17800298950878388</v>
      </c>
      <c r="T17" s="269">
        <f t="shared" si="10"/>
        <v>0.18486778649486579</v>
      </c>
      <c r="U17" s="269">
        <f t="shared" si="10"/>
        <v>0.19219106919892717</v>
      </c>
      <c r="V17" s="269">
        <f t="shared" si="10"/>
        <v>0.20000074678724175</v>
      </c>
      <c r="W17" s="269">
        <f t="shared" si="10"/>
        <v>0.20832647458996334</v>
      </c>
      <c r="X17" s="269">
        <f t="shared" si="10"/>
        <v>0.21719976388649248</v>
      </c>
      <c r="Y17" s="269">
        <f t="shared" si="10"/>
        <v>0.2266540986342481</v>
      </c>
      <c r="Z17" s="269">
        <f t="shared" si="10"/>
        <v>0.23672505958205037</v>
      </c>
      <c r="AA17" s="269">
        <f t="shared" si="10"/>
        <v>0.24745045623752998</v>
      </c>
      <c r="AB17" s="269">
        <f t="shared" si="10"/>
        <v>0.25887046718800327</v>
      </c>
      <c r="AC17" s="269">
        <f t="shared" si="10"/>
        <v>0.27102778930620658</v>
      </c>
      <c r="AD17" s="269">
        <f t="shared" si="10"/>
        <v>0.2839677964062885</v>
      </c>
      <c r="AE17" s="269">
        <f t="shared" si="10"/>
        <v>0.29773870795165697</v>
      </c>
      <c r="AF17" s="270">
        <f t="shared" si="10"/>
        <v>0.31239176845478556</v>
      </c>
      <c r="AH17" s="8"/>
      <c r="AI17" s="420" t="s">
        <v>189</v>
      </c>
      <c r="AJ17" s="404"/>
      <c r="AK17" s="404"/>
      <c r="AL17" s="52" t="s">
        <v>19</v>
      </c>
      <c r="AM17" s="269">
        <f>SUM(AM18:AM23)</f>
        <v>6.1831050228310508E-2</v>
      </c>
      <c r="AN17" s="269">
        <f t="shared" ref="AN17:BL17" si="11">SUM(AN18:AN23)</f>
        <v>6.5306105618383584E-2</v>
      </c>
      <c r="AO17" s="269">
        <f t="shared" si="11"/>
        <v>6.8312267347205774E-2</v>
      </c>
      <c r="AP17" s="269">
        <f t="shared" si="11"/>
        <v>7.1519720756052632E-2</v>
      </c>
      <c r="AQ17" s="269">
        <f t="shared" si="11"/>
        <v>7.4941489040178666E-2</v>
      </c>
      <c r="AR17" s="269">
        <f t="shared" si="11"/>
        <v>7.8591464743321862E-2</v>
      </c>
      <c r="AS17" s="269">
        <f t="shared" si="11"/>
        <v>8.2484470741042412E-2</v>
      </c>
      <c r="AT17" s="269">
        <f t="shared" si="11"/>
        <v>8.6636326002167988E-2</v>
      </c>
      <c r="AU17" s="269">
        <f t="shared" si="11"/>
        <v>9.1063916597289879E-2</v>
      </c>
      <c r="AV17" s="269">
        <f t="shared" si="11"/>
        <v>9.5785272488154716E-2</v>
      </c>
      <c r="AW17" s="269">
        <f t="shared" si="11"/>
        <v>0.1008196507093413</v>
      </c>
      <c r="AX17" s="269">
        <f t="shared" si="11"/>
        <v>0.10590020138524003</v>
      </c>
      <c r="AY17" s="269">
        <f t="shared" si="11"/>
        <v>0.11143716003944902</v>
      </c>
      <c r="AZ17" s="269">
        <f t="shared" si="11"/>
        <v>0.11733606196175357</v>
      </c>
      <c r="BA17" s="269">
        <f t="shared" si="11"/>
        <v>0.12361997787344781</v>
      </c>
      <c r="BB17" s="269">
        <f t="shared" si="11"/>
        <v>0.13031345891777535</v>
      </c>
      <c r="BC17" s="269">
        <f t="shared" si="11"/>
        <v>0.13744263183878086</v>
      </c>
      <c r="BD17" s="269">
        <f t="shared" si="11"/>
        <v>0.14503530028975514</v>
      </c>
      <c r="BE17" s="269">
        <f t="shared" si="11"/>
        <v>0.15312105266655684</v>
      </c>
      <c r="BF17" s="269">
        <f t="shared" si="11"/>
        <v>0.16173137688662714</v>
      </c>
      <c r="BG17" s="269">
        <f t="shared" si="11"/>
        <v>0.17089978256170399</v>
      </c>
      <c r="BH17" s="269">
        <f t="shared" si="11"/>
        <v>0.18066193104118677</v>
      </c>
      <c r="BI17" s="269">
        <f t="shared" si="11"/>
        <v>0.19105577383392508</v>
      </c>
      <c r="BJ17" s="269">
        <f t="shared" si="11"/>
        <v>0.2021216999490181</v>
      </c>
      <c r="BK17" s="269">
        <f t="shared" si="11"/>
        <v>0.21390269273115337</v>
      </c>
      <c r="BL17" s="270">
        <f t="shared" si="11"/>
        <v>0.22644449680320791</v>
      </c>
      <c r="BN17" s="10" t="s">
        <v>364</v>
      </c>
      <c r="BO17" s="11"/>
      <c r="BP17" s="11"/>
      <c r="BQ17" s="483"/>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1"/>
    </row>
    <row r="18" spans="2:95" x14ac:dyDescent="0.25">
      <c r="B18" s="8"/>
      <c r="C18" s="420"/>
      <c r="D18" s="404" t="s">
        <v>208</v>
      </c>
      <c r="E18" s="404"/>
      <c r="F18" s="52" t="s">
        <v>19</v>
      </c>
      <c r="G18" s="269">
        <f>IF('Customer Sector'!$F$40=TRUE,G49,G35-G36)</f>
        <v>3.9E-2</v>
      </c>
      <c r="H18" s="269">
        <f>IF('Customer Sector'!$F$40=TRUE,H49,H35-H36)</f>
        <v>4.1534999999999996E-2</v>
      </c>
      <c r="I18" s="269">
        <f>IF('Customer Sector'!$F$40=TRUE,I49,I35-I36)</f>
        <v>4.423477499999999E-2</v>
      </c>
      <c r="J18" s="269">
        <f>IF('Customer Sector'!$F$40=TRUE,J49,J35-J36)</f>
        <v>4.7110035374999984E-2</v>
      </c>
      <c r="K18" s="269">
        <f>IF('Customer Sector'!$F$40=TRUE,K49,K35-K36)</f>
        <v>5.017218767437498E-2</v>
      </c>
      <c r="L18" s="269">
        <f>IF('Customer Sector'!$F$40=TRUE,L49,L35-L36)</f>
        <v>5.3433379873209348E-2</v>
      </c>
      <c r="M18" s="269">
        <f>IF('Customer Sector'!$F$40=TRUE,M49,M35-M36)</f>
        <v>5.6906549564967955E-2</v>
      </c>
      <c r="N18" s="269">
        <f>IF('Customer Sector'!$F$40=TRUE,N49,N35-N36)</f>
        <v>6.0605475286690871E-2</v>
      </c>
      <c r="O18" s="269">
        <f>IF('Customer Sector'!$F$40=TRUE,O49,O35-O36)</f>
        <v>6.4544831180325779E-2</v>
      </c>
      <c r="P18" s="269">
        <f>IF('Customer Sector'!$F$40=TRUE,P49,P35-P36)</f>
        <v>6.8740245207046954E-2</v>
      </c>
      <c r="Q18" s="269">
        <f>IF('Customer Sector'!$F$40=TRUE,Q49,Q35-Q36)</f>
        <v>7.3208361145504997E-2</v>
      </c>
      <c r="R18" s="269">
        <f>IF('Customer Sector'!$F$40=TRUE,R49,R35-R36)</f>
        <v>7.7966904619962821E-2</v>
      </c>
      <c r="S18" s="269">
        <f>IF('Customer Sector'!$F$40=TRUE,S49,S35-S36)</f>
        <v>8.3034753420260399E-2</v>
      </c>
      <c r="T18" s="269">
        <f>IF('Customer Sector'!$F$40=TRUE,T49,T35-T36)</f>
        <v>8.8432012392577322E-2</v>
      </c>
      <c r="U18" s="269">
        <f>IF('Customer Sector'!$F$40=TRUE,U49,U35-U36)</f>
        <v>9.4180093198094839E-2</v>
      </c>
      <c r="V18" s="269">
        <f>IF('Customer Sector'!$F$40=TRUE,V49,V35-V36)</f>
        <v>0.10030179925597099</v>
      </c>
      <c r="W18" s="269">
        <f>IF('Customer Sector'!$F$40=TRUE,W49,W35-W36)</f>
        <v>0.1068214162076091</v>
      </c>
      <c r="X18" s="269">
        <f>IF('Customer Sector'!$F$40=TRUE,X49,X35-X36)</f>
        <v>0.11376480826110369</v>
      </c>
      <c r="Y18" s="269">
        <f>IF('Customer Sector'!$F$40=TRUE,Y49,Y35-Y36)</f>
        <v>0.12115952079807542</v>
      </c>
      <c r="Z18" s="269">
        <f>IF('Customer Sector'!$F$40=TRUE,Z49,Z35-Z36)</f>
        <v>0.1290348896499503</v>
      </c>
      <c r="AA18" s="269">
        <f>IF('Customer Sector'!$F$40=TRUE,AA49,AA35-AA36)</f>
        <v>0.13742215747719708</v>
      </c>
      <c r="AB18" s="269">
        <f>IF('Customer Sector'!$F$40=TRUE,AB49,AB35-AB36)</f>
        <v>0.14635459771321488</v>
      </c>
      <c r="AC18" s="269">
        <f>IF('Customer Sector'!$F$40=TRUE,AC49,AC35-AC36)</f>
        <v>0.15586764656457383</v>
      </c>
      <c r="AD18" s="269">
        <f>IF('Customer Sector'!$F$40=TRUE,AD49,AD35-AD36)</f>
        <v>0.16599904359127113</v>
      </c>
      <c r="AE18" s="269">
        <f>IF('Customer Sector'!$F$40=TRUE,AE49,AE35-AE36)</f>
        <v>0.17678898142470376</v>
      </c>
      <c r="AF18" s="270">
        <f>IF('Customer Sector'!$F$40=TRUE,AF49,AF35-AF36)</f>
        <v>0.18828026521730948</v>
      </c>
      <c r="AH18" s="8"/>
      <c r="AI18" s="420"/>
      <c r="AJ18" s="404" t="s">
        <v>208</v>
      </c>
      <c r="AK18" s="404"/>
      <c r="AL18" s="52" t="s">
        <v>19</v>
      </c>
      <c r="AM18" s="269">
        <f>IF('Customer Sector'!$L$40=TRUE,AM49,AM35-AM36)</f>
        <v>3.9E-2</v>
      </c>
      <c r="AN18" s="269">
        <f>IF('Customer Sector'!$L$40=TRUE,AN49,AN35-AN36)</f>
        <v>4.1534999999999996E-2</v>
      </c>
      <c r="AO18" s="269">
        <f>IF('Customer Sector'!$L$40=TRUE,AO49,AO35-AO36)</f>
        <v>4.423477499999999E-2</v>
      </c>
      <c r="AP18" s="269">
        <f>IF('Customer Sector'!$L$40=TRUE,AP49,AP35-AP36)</f>
        <v>4.7110035374999984E-2</v>
      </c>
      <c r="AQ18" s="269">
        <f>IF('Customer Sector'!$L$40=TRUE,AQ49,AQ35-AQ36)</f>
        <v>5.017218767437498E-2</v>
      </c>
      <c r="AR18" s="269">
        <f>IF('Customer Sector'!$L$40=TRUE,AR49,AR35-AR36)</f>
        <v>5.3433379873209348E-2</v>
      </c>
      <c r="AS18" s="269">
        <f>IF('Customer Sector'!$L$40=TRUE,AS49,AS35-AS36)</f>
        <v>5.6906549564967955E-2</v>
      </c>
      <c r="AT18" s="269">
        <f>IF('Customer Sector'!$L$40=TRUE,AT49,AT35-AT36)</f>
        <v>6.0605475286690871E-2</v>
      </c>
      <c r="AU18" s="269">
        <f>IF('Customer Sector'!$L$40=TRUE,AU49,AU35-AU36)</f>
        <v>6.4544831180325779E-2</v>
      </c>
      <c r="AV18" s="269">
        <f>IF('Customer Sector'!$L$40=TRUE,AV49,AV35-AV36)</f>
        <v>6.8740245207046954E-2</v>
      </c>
      <c r="AW18" s="269">
        <f>IF('Customer Sector'!$L$40=TRUE,AW49,AW35-AW36)</f>
        <v>7.3208361145504997E-2</v>
      </c>
      <c r="AX18" s="269">
        <f>IF('Customer Sector'!$L$40=TRUE,AX49,AX35-AX36)</f>
        <v>7.7966904619962821E-2</v>
      </c>
      <c r="AY18" s="269">
        <f>IF('Customer Sector'!$L$40=TRUE,AY49,AY35-AY36)</f>
        <v>8.3034753420260399E-2</v>
      </c>
      <c r="AZ18" s="269">
        <f>IF('Customer Sector'!$L$40=TRUE,AZ49,AZ35-AZ36)</f>
        <v>8.8432012392577322E-2</v>
      </c>
      <c r="BA18" s="269">
        <f>IF('Customer Sector'!$L$40=TRUE,BA49,BA35-BA36)</f>
        <v>9.4180093198094839E-2</v>
      </c>
      <c r="BB18" s="269">
        <f>IF('Customer Sector'!$L$40=TRUE,BB49,BB35-BB36)</f>
        <v>0.10030179925597099</v>
      </c>
      <c r="BC18" s="269">
        <f>IF('Customer Sector'!$L$40=TRUE,BC49,BC35-BC36)</f>
        <v>0.1068214162076091</v>
      </c>
      <c r="BD18" s="269">
        <f>IF('Customer Sector'!$L$40=TRUE,BD49,BD35-BD36)</f>
        <v>0.11376480826110369</v>
      </c>
      <c r="BE18" s="269">
        <f>IF('Customer Sector'!$L$40=TRUE,BE49,BE35-BE36)</f>
        <v>0.12115952079807542</v>
      </c>
      <c r="BF18" s="269">
        <f>IF('Customer Sector'!$L$40=TRUE,BF49,BF35-BF36)</f>
        <v>0.1290348896499503</v>
      </c>
      <c r="BG18" s="269">
        <f>IF('Customer Sector'!$L$40=TRUE,BG49,BG35-BG36)</f>
        <v>0.13742215747719708</v>
      </c>
      <c r="BH18" s="269">
        <f>IF('Customer Sector'!$L$40=TRUE,BH49,BH35-BH36)</f>
        <v>0.14635459771321488</v>
      </c>
      <c r="BI18" s="269">
        <f>IF('Customer Sector'!$L$40=TRUE,BI49,BI35-BI36)</f>
        <v>0.15586764656457383</v>
      </c>
      <c r="BJ18" s="269">
        <f>IF('Customer Sector'!$L$40=TRUE,BJ49,BJ35-BJ36)</f>
        <v>0.16599904359127113</v>
      </c>
      <c r="BK18" s="269">
        <f>IF('Customer Sector'!$L$40=TRUE,BK49,BK35-BK36)</f>
        <v>0.17678898142470376</v>
      </c>
      <c r="BL18" s="270">
        <f>IF('Customer Sector'!$L$40=TRUE,BL49,BL35-BL36)</f>
        <v>0.18828026521730948</v>
      </c>
      <c r="BN18" s="10"/>
      <c r="BO18" s="11" t="s">
        <v>215</v>
      </c>
      <c r="BP18" s="11"/>
      <c r="BQ18" s="446" t="s">
        <v>6</v>
      </c>
      <c r="BR18" s="60">
        <f t="shared" ref="BR18:CA19" si="12">( (G166*BR$8) + (AM166*BR$9) )/BR$7</f>
        <v>3.9E-2</v>
      </c>
      <c r="BS18" s="60">
        <f t="shared" si="12"/>
        <v>4.1534999999999996E-2</v>
      </c>
      <c r="BT18" s="60">
        <f t="shared" si="12"/>
        <v>4.423477499999999E-2</v>
      </c>
      <c r="BU18" s="60">
        <f t="shared" si="12"/>
        <v>4.7110035374999984E-2</v>
      </c>
      <c r="BV18" s="60">
        <f t="shared" si="12"/>
        <v>5.0172187674374986E-2</v>
      </c>
      <c r="BW18" s="60">
        <f t="shared" si="12"/>
        <v>5.3433379873209355E-2</v>
      </c>
      <c r="BX18" s="60">
        <f t="shared" si="12"/>
        <v>5.6906549564967948E-2</v>
      </c>
      <c r="BY18" s="60">
        <f t="shared" si="12"/>
        <v>6.0605475286690871E-2</v>
      </c>
      <c r="BZ18" s="60">
        <f t="shared" si="12"/>
        <v>6.4544831180325779E-2</v>
      </c>
      <c r="CA18" s="60">
        <f t="shared" si="12"/>
        <v>6.8740245207046954E-2</v>
      </c>
      <c r="CB18" s="60">
        <f t="shared" ref="CB18:CK19" si="13">( (Q166*CB$8) + (AW166*CB$9) )/CB$7</f>
        <v>7.3208361145504997E-2</v>
      </c>
      <c r="CC18" s="60">
        <f t="shared" si="13"/>
        <v>7.7966904619962807E-2</v>
      </c>
      <c r="CD18" s="60">
        <f t="shared" si="13"/>
        <v>8.3034753420260399E-2</v>
      </c>
      <c r="CE18" s="60">
        <f t="shared" si="13"/>
        <v>8.8432012392577322E-2</v>
      </c>
      <c r="CF18" s="60">
        <f t="shared" si="13"/>
        <v>9.4180093198094839E-2</v>
      </c>
      <c r="CG18" s="60">
        <f t="shared" si="13"/>
        <v>0.10030179925597099</v>
      </c>
      <c r="CH18" s="60">
        <f t="shared" si="13"/>
        <v>0.1068214162076091</v>
      </c>
      <c r="CI18" s="60">
        <f t="shared" si="13"/>
        <v>0.11376480826110368</v>
      </c>
      <c r="CJ18" s="60">
        <f t="shared" si="13"/>
        <v>0.1211595207980754</v>
      </c>
      <c r="CK18" s="60">
        <f t="shared" si="13"/>
        <v>0.12903488964995033</v>
      </c>
      <c r="CL18" s="60">
        <f t="shared" ref="CL18:CQ19" si="14">( (AA166*CL$8) + (BG166*CL$9) )/CL$7</f>
        <v>0.13742215747719708</v>
      </c>
      <c r="CM18" s="60">
        <f t="shared" si="14"/>
        <v>0.14635459771321488</v>
      </c>
      <c r="CN18" s="60">
        <f t="shared" si="14"/>
        <v>0.15586764656457383</v>
      </c>
      <c r="CO18" s="60">
        <f t="shared" si="14"/>
        <v>0.16599904359127113</v>
      </c>
      <c r="CP18" s="60">
        <f t="shared" si="14"/>
        <v>0.17678898142470376</v>
      </c>
      <c r="CQ18" s="61">
        <f t="shared" si="14"/>
        <v>0.18828026521730948</v>
      </c>
    </row>
    <row r="19" spans="2:95" x14ac:dyDescent="0.25">
      <c r="B19" s="8"/>
      <c r="C19" s="420"/>
      <c r="D19" s="404"/>
      <c r="E19" s="404" t="s">
        <v>78</v>
      </c>
      <c r="F19" s="52" t="s">
        <v>19</v>
      </c>
      <c r="G19" s="421">
        <f>IF('Customer Sector'!$F$40=TRUE,G50,G36)</f>
        <v>0</v>
      </c>
      <c r="H19" s="421">
        <f>IF('Customer Sector'!$F$40=TRUE,H50,H36)</f>
        <v>-2.195559490633589E-4</v>
      </c>
      <c r="I19" s="421">
        <f>IF('Customer Sector'!$F$40=TRUE,I50,I36)</f>
        <v>-2.4533681547458247E-4</v>
      </c>
      <c r="J19" s="421">
        <f>IF('Customer Sector'!$F$40=TRUE,J50,J36)</f>
        <v>-2.7427986149518302E-4</v>
      </c>
      <c r="K19" s="421">
        <f>IF('Customer Sector'!$F$40=TRUE,K50,K36)</f>
        <v>-3.0679390555141822E-4</v>
      </c>
      <c r="L19" s="421">
        <f>IF('Customer Sector'!$F$40=TRUE,L50,L36)</f>
        <v>-3.4334400491015798E-4</v>
      </c>
      <c r="M19" s="421">
        <f>IF('Customer Sector'!$F$40=TRUE,M50,M36)</f>
        <v>-3.8445979592180435E-4</v>
      </c>
      <c r="N19" s="421">
        <f>IF('Customer Sector'!$F$40=TRUE,N50,N36)</f>
        <v>-4.3074518986441906E-4</v>
      </c>
      <c r="O19" s="421">
        <f>IF('Customer Sector'!$F$40=TRUE,O50,O36)</f>
        <v>-4.8288966996438976E-4</v>
      </c>
      <c r="P19" s="421">
        <f>IF('Customer Sector'!$F$40=TRUE,P50,P36)</f>
        <v>-5.4168148537715732E-4</v>
      </c>
      <c r="Q19" s="421">
        <f>IF('Customer Sector'!$F$40=TRUE,Q50,Q36)</f>
        <v>-6.0802309976602797E-4</v>
      </c>
      <c r="R19" s="421">
        <f>IF('Customer Sector'!$F$40=TRUE,R50,R36)</f>
        <v>-1.5781729415015322E-4</v>
      </c>
      <c r="S19" s="421">
        <f>IF('Customer Sector'!$F$40=TRUE,S50,S36)</f>
        <v>-1.6807541826992234E-4</v>
      </c>
      <c r="T19" s="421">
        <f>IF('Customer Sector'!$F$40=TRUE,T50,T36)</f>
        <v>-1.7900032045746472E-4</v>
      </c>
      <c r="U19" s="421">
        <f>IF('Customer Sector'!$F$40=TRUE,U50,U36)</f>
        <v>-1.906353412872569E-4</v>
      </c>
      <c r="V19" s="421">
        <f>IF('Customer Sector'!$F$40=TRUE,V50,V36)</f>
        <v>-2.0302663847093783E-4</v>
      </c>
      <c r="W19" s="421">
        <f>IF('Customer Sector'!$F$40=TRUE,W50,W36)</f>
        <v>-2.1622336997154101E-4</v>
      </c>
      <c r="X19" s="421">
        <f>IF('Customer Sector'!$F$40=TRUE,X50,X36)</f>
        <v>-2.3027788901971991E-4</v>
      </c>
      <c r="Y19" s="421">
        <f>IF('Customer Sector'!$F$40=TRUE,Y50,Y36)</f>
        <v>-2.4524595180600017E-4</v>
      </c>
      <c r="Z19" s="421">
        <f>IF('Customer Sector'!$F$40=TRUE,Z50,Z36)</f>
        <v>-2.6118693867341336E-4</v>
      </c>
      <c r="AA19" s="421">
        <f>IF('Customer Sector'!$F$40=TRUE,AA50,AA36)</f>
        <v>-2.7816408968722728E-4</v>
      </c>
      <c r="AB19" s="421">
        <f>IF('Customer Sector'!$F$40=TRUE,AB50,AB36)</f>
        <v>-2.9624475551692786E-4</v>
      </c>
      <c r="AC19" s="421">
        <f>IF('Customer Sector'!$F$40=TRUE,AC50,AC36)</f>
        <v>-3.1550066462548987E-4</v>
      </c>
      <c r="AD19" s="421">
        <f>IF('Customer Sector'!$F$40=TRUE,AD50,AD36)</f>
        <v>-3.3600820782619945E-4</v>
      </c>
      <c r="AE19" s="421">
        <f>IF('Customer Sector'!$F$40=TRUE,AE50,AE36)</f>
        <v>-3.5784874133487632E-4</v>
      </c>
      <c r="AF19" s="422">
        <f>IF('Customer Sector'!$F$40=TRUE,AF50,AF36)</f>
        <v>-3.8110890952167131E-4</v>
      </c>
      <c r="AH19" s="8"/>
      <c r="AI19" s="420"/>
      <c r="AJ19" s="404"/>
      <c r="AK19" s="404" t="s">
        <v>78</v>
      </c>
      <c r="AL19" s="52" t="s">
        <v>19</v>
      </c>
      <c r="AM19" s="421">
        <f>IF('Customer Sector'!$L$40=TRUE,AM50,AM36)</f>
        <v>0</v>
      </c>
      <c r="AN19" s="421">
        <f>IF('Customer Sector'!$L$40=TRUE,AN50,AN36)</f>
        <v>-2.195559490633589E-4</v>
      </c>
      <c r="AO19" s="421">
        <f>IF('Customer Sector'!$L$40=TRUE,AO50,AO36)</f>
        <v>-2.4533681547458247E-4</v>
      </c>
      <c r="AP19" s="421">
        <f>IF('Customer Sector'!$L$40=TRUE,AP50,AP36)</f>
        <v>-2.7427986149518302E-4</v>
      </c>
      <c r="AQ19" s="421">
        <f>IF('Customer Sector'!$L$40=TRUE,AQ50,AQ36)</f>
        <v>-3.0679390555141128E-4</v>
      </c>
      <c r="AR19" s="421">
        <f>IF('Customer Sector'!$L$40=TRUE,AR50,AR36)</f>
        <v>-3.4334400491015105E-4</v>
      </c>
      <c r="AS19" s="421">
        <f>IF('Customer Sector'!$L$40=TRUE,AS50,AS36)</f>
        <v>-3.8445979592179741E-4</v>
      </c>
      <c r="AT19" s="421">
        <f>IF('Customer Sector'!$L$40=TRUE,AT50,AT36)</f>
        <v>-4.3074518986439825E-4</v>
      </c>
      <c r="AU19" s="421">
        <f>IF('Customer Sector'!$L$40=TRUE,AU50,AU36)</f>
        <v>-4.82889669964362E-4</v>
      </c>
      <c r="AV19" s="421">
        <f>IF('Customer Sector'!$L$40=TRUE,AV50,AV36)</f>
        <v>-5.4168148537712957E-4</v>
      </c>
      <c r="AW19" s="421">
        <f>IF('Customer Sector'!$L$40=TRUE,AW50,AW36)</f>
        <v>-6.0802309976600022E-4</v>
      </c>
      <c r="AX19" s="421">
        <f>IF('Customer Sector'!$L$40=TRUE,AX50,AX36)</f>
        <v>-1.5781729415012546E-4</v>
      </c>
      <c r="AY19" s="421">
        <f>IF('Customer Sector'!$L$40=TRUE,AY50,AY36)</f>
        <v>-1.6807541826989458E-4</v>
      </c>
      <c r="AZ19" s="421">
        <f>IF('Customer Sector'!$L$40=TRUE,AZ50,AZ36)</f>
        <v>-1.7900032045743697E-4</v>
      </c>
      <c r="BA19" s="421">
        <f>IF('Customer Sector'!$L$40=TRUE,BA50,BA36)</f>
        <v>-1.9063534128722914E-4</v>
      </c>
      <c r="BB19" s="421">
        <f>IF('Customer Sector'!$L$40=TRUE,BB50,BB36)</f>
        <v>-2.0302663847091007E-4</v>
      </c>
      <c r="BC19" s="421">
        <f>IF('Customer Sector'!$L$40=TRUE,BC50,BC36)</f>
        <v>-2.1622336997151326E-4</v>
      </c>
      <c r="BD19" s="421">
        <f>IF('Customer Sector'!$L$40=TRUE,BD50,BD36)</f>
        <v>-2.3027788901969215E-4</v>
      </c>
      <c r="BE19" s="421">
        <f>IF('Customer Sector'!$L$40=TRUE,BE50,BE36)</f>
        <v>-2.4524595180597242E-4</v>
      </c>
      <c r="BF19" s="421">
        <f>IF('Customer Sector'!$L$40=TRUE,BF50,BF36)</f>
        <v>-2.611869386733856E-4</v>
      </c>
      <c r="BG19" s="421">
        <f>IF('Customer Sector'!$L$40=TRUE,BG50,BG36)</f>
        <v>-2.7816408968719952E-4</v>
      </c>
      <c r="BH19" s="421">
        <f>IF('Customer Sector'!$L$40=TRUE,BH50,BH36)</f>
        <v>-2.962447555169001E-4</v>
      </c>
      <c r="BI19" s="421">
        <f>IF('Customer Sector'!$L$40=TRUE,BI50,BI36)</f>
        <v>-3.1550066462546211E-4</v>
      </c>
      <c r="BJ19" s="421">
        <f>IF('Customer Sector'!$L$40=TRUE,BJ50,BJ36)</f>
        <v>-3.3600820782617169E-4</v>
      </c>
      <c r="BK19" s="421">
        <f>IF('Customer Sector'!$L$40=TRUE,BK50,BK36)</f>
        <v>-3.5784874133484856E-4</v>
      </c>
      <c r="BL19" s="422">
        <f>IF('Customer Sector'!$L$40=TRUE,BL50,BL36)</f>
        <v>-3.8110890952164356E-4</v>
      </c>
      <c r="BN19" s="10"/>
      <c r="BO19" s="11" t="s">
        <v>216</v>
      </c>
      <c r="BP19" s="11"/>
      <c r="BQ19" s="446" t="s">
        <v>19</v>
      </c>
      <c r="BR19" s="60">
        <f t="shared" si="12"/>
        <v>4.1266867776096512E-2</v>
      </c>
      <c r="BS19" s="60">
        <f t="shared" si="12"/>
        <v>4.2351717474386479E-2</v>
      </c>
      <c r="BT19" s="60">
        <f t="shared" si="12"/>
        <v>4.2732044349808845E-2</v>
      </c>
      <c r="BU19" s="60">
        <f t="shared" si="12"/>
        <v>4.31505258939371E-2</v>
      </c>
      <c r="BV19" s="60">
        <f t="shared" si="12"/>
        <v>4.3609208523726746E-2</v>
      </c>
      <c r="BW19" s="60">
        <f t="shared" si="12"/>
        <v>4.4110277106944637E-2</v>
      </c>
      <c r="BX19" s="60">
        <f t="shared" si="12"/>
        <v>4.4656066268180077E-2</v>
      </c>
      <c r="BY19" s="60">
        <f t="shared" si="12"/>
        <v>4.5249072885917264E-2</v>
      </c>
      <c r="BZ19" s="60">
        <f t="shared" si="12"/>
        <v>4.5891969940936909E-2</v>
      </c>
      <c r="CA19" s="60">
        <f t="shared" si="12"/>
        <v>4.6587621902727951E-2</v>
      </c>
      <c r="CB19" s="60">
        <f t="shared" si="13"/>
        <v>4.7339101872122348E-2</v>
      </c>
      <c r="CC19" s="60">
        <f t="shared" si="13"/>
        <v>4.806847824603562E-2</v>
      </c>
      <c r="CD19" s="60">
        <f t="shared" si="13"/>
        <v>4.8850695473727238E-2</v>
      </c>
      <c r="CE19" s="60">
        <f t="shared" si="13"/>
        <v>4.9688389607332663E-2</v>
      </c>
      <c r="CF19" s="60">
        <f t="shared" si="13"/>
        <v>5.0584336478021769E-2</v>
      </c>
      <c r="CG19" s="60">
        <f t="shared" si="13"/>
        <v>5.1541459060875407E-2</v>
      </c>
      <c r="CH19" s="60">
        <f t="shared" si="13"/>
        <v>5.2562835226111777E-2</v>
      </c>
      <c r="CI19" s="60">
        <f t="shared" si="13"/>
        <v>5.3651705896724897E-2</v>
      </c>
      <c r="CJ19" s="60">
        <f t="shared" si="13"/>
        <v>5.4811483633651362E-2</v>
      </c>
      <c r="CK19" s="60">
        <f t="shared" si="13"/>
        <v>5.6045761670693271E-2</v>
      </c>
      <c r="CL19" s="60">
        <f t="shared" si="14"/>
        <v>5.7358323422598848E-2</v>
      </c>
      <c r="CM19" s="60">
        <f t="shared" si="14"/>
        <v>5.8753152490940486E-2</v>
      </c>
      <c r="CN19" s="60">
        <f t="shared" si="14"/>
        <v>6.0234443193735471E-2</v>
      </c>
      <c r="CO19" s="60">
        <f t="shared" si="14"/>
        <v>6.1806611646130327E-2</v>
      </c>
      <c r="CP19" s="60">
        <f t="shared" si="14"/>
        <v>6.3474307420923054E-2</v>
      </c>
      <c r="CQ19" s="61">
        <f t="shared" si="14"/>
        <v>6.5242425819222891E-2</v>
      </c>
    </row>
    <row r="20" spans="2:95" x14ac:dyDescent="0.25">
      <c r="B20" s="8"/>
      <c r="C20" s="420"/>
      <c r="D20" s="404" t="s">
        <v>209</v>
      </c>
      <c r="E20" s="404"/>
      <c r="F20" s="52" t="s">
        <v>19</v>
      </c>
      <c r="G20" s="269">
        <f>IF('Customer Sector'!$F$59=TRUE,IF('Customer Sector'!$F$44=TRUE,G51-G52,G37)*(1-'Customer Sector'!$F$60),IF('Customer Sector'!$F$44=TRUE,G51-G52,G37))</f>
        <v>8.0999999999999989E-2</v>
      </c>
      <c r="H20" s="269">
        <f>IF('Customer Sector'!$F$59=TRUE,IF('Customer Sector'!$F$44=TRUE,H51-H52,H37)*(1-'Customer Sector'!$F$60),IF('Customer Sector'!$F$44=TRUE,H51-H52,H37))</f>
        <v>8.2943093434957593E-2</v>
      </c>
      <c r="I20" s="269">
        <f>IF('Customer Sector'!$F$59=TRUE,IF('Customer Sector'!$F$44=TRUE,I51-I52,I37)*(1-'Customer Sector'!$F$60),IF('Customer Sector'!$F$44=TRUE,I51-I52,I37))</f>
        <v>8.3492740836596024E-2</v>
      </c>
      <c r="J20" s="269">
        <f>IF('Customer Sector'!$F$59=TRUE,IF('Customer Sector'!$F$44=TRUE,J51-J52,J37)*(1-'Customer Sector'!$F$60),IF('Customer Sector'!$F$44=TRUE,J51-J52,J37))</f>
        <v>8.4106978362833762E-2</v>
      </c>
      <c r="K20" s="269">
        <f>IF('Customer Sector'!$F$59=TRUE,IF('Customer Sector'!$F$44=TRUE,K51-K52,K37)*(1-'Customer Sector'!$F$60),IF('Customer Sector'!$F$44=TRUE,K51-K52,K37))</f>
        <v>8.4788689438926201E-2</v>
      </c>
      <c r="L20" s="269">
        <f>IF('Customer Sector'!$F$59=TRUE,IF('Customer Sector'!$F$44=TRUE,L51-L52,L37)*(1-'Customer Sector'!$F$60),IF('Customer Sector'!$F$44=TRUE,L51-L52,L37))</f>
        <v>8.5540908415353681E-2</v>
      </c>
      <c r="M20" s="269">
        <f>IF('Customer Sector'!$F$59=TRUE,IF('Customer Sector'!$F$44=TRUE,M51-M52,M37)*(1-'Customer Sector'!$F$60),IF('Customer Sector'!$F$44=TRUE,M51-M52,M37))</f>
        <v>8.6366828279327373E-2</v>
      </c>
      <c r="N20" s="269">
        <f>IF('Customer Sector'!$F$59=TRUE,IF('Customer Sector'!$F$44=TRUE,N51-N52,N37)*(1-'Customer Sector'!$F$60),IF('Customer Sector'!$F$44=TRUE,N51-N52,N37))</f>
        <v>8.7269808761879203E-2</v>
      </c>
      <c r="O20" s="269">
        <f>IF('Customer Sector'!$F$59=TRUE,IF('Customer Sector'!$F$44=TRUE,O51-O52,O37)*(1-'Customer Sector'!$F$60),IF('Customer Sector'!$F$44=TRUE,O51-O52,O37))</f>
        <v>8.8253384860462553E-2</v>
      </c>
      <c r="P20" s="269">
        <f>IF('Customer Sector'!$F$59=TRUE,IF('Customer Sector'!$F$44=TRUE,P51-P52,P37)*(1-'Customer Sector'!$F$60),IF('Customer Sector'!$F$44=TRUE,P51-P52,P37))</f>
        <v>8.9321275797972804E-2</v>
      </c>
      <c r="Q20" s="269">
        <f>IF('Customer Sector'!$F$59=TRUE,IF('Customer Sector'!$F$44=TRUE,Q51-Q52,Q37)*(1-'Customer Sector'!$F$60),IF('Customer Sector'!$F$44=TRUE,Q51-Q52,Q37))</f>
        <v>9.0477394440131684E-2</v>
      </c>
      <c r="R20" s="269">
        <f>IF('Customer Sector'!$F$59=TRUE,IF('Customer Sector'!$F$44=TRUE,R51-R52,R37)*(1-'Customer Sector'!$F$60),IF('Customer Sector'!$F$44=TRUE,R51-R52,R37))</f>
        <v>9.1725857194270288E-2</v>
      </c>
      <c r="S20" s="269">
        <f>IF('Customer Sector'!$F$59=TRUE,IF('Customer Sector'!$F$44=TRUE,S51-S52,S37)*(1-'Customer Sector'!$F$60),IF('Customer Sector'!$F$44=TRUE,S51-S52,S37))</f>
        <v>9.307099441369536E-2</v>
      </c>
      <c r="T20" s="269">
        <f>IF('Customer Sector'!$F$59=TRUE,IF('Customer Sector'!$F$44=TRUE,T51-T52,T37)*(1-'Customer Sector'!$F$60),IF('Customer Sector'!$F$44=TRUE,T51-T52,T37))</f>
        <v>9.4517361333035607E-2</v>
      </c>
      <c r="U20" s="269">
        <f>IF('Customer Sector'!$F$59=TRUE,IF('Customer Sector'!$F$44=TRUE,U51-U52,U37)*(1-'Customer Sector'!$F$60),IF('Customer Sector'!$F$44=TRUE,U51-U52,U37))</f>
        <v>9.6069749561245657E-2</v>
      </c>
      <c r="V20" s="269">
        <f>IF('Customer Sector'!$F$59=TRUE,IF('Customer Sector'!$F$44=TRUE,V51-V52,V37)*(1-'Customer Sector'!$F$60),IF('Customer Sector'!$F$44=TRUE,V51-V52,V37))</f>
        <v>9.7733199160293549E-2</v>
      </c>
      <c r="W20" s="269">
        <f>IF('Customer Sector'!$F$59=TRUE,IF('Customer Sector'!$F$44=TRUE,W51-W52,W37)*(1-'Customer Sector'!$F$60),IF('Customer Sector'!$F$44=TRUE,W51-W52,W37))</f>
        <v>9.9513011338983992E-2</v>
      </c>
      <c r="X20" s="269">
        <f>IF('Customer Sector'!$F$59=TRUE,IF('Customer Sector'!$F$44=TRUE,X51-X52,X37)*(1-'Customer Sector'!$F$60),IF('Customer Sector'!$F$44=TRUE,X51-X52,X37))</f>
        <v>0.10141476179287219</v>
      </c>
      <c r="Y20" s="269">
        <f>IF('Customer Sector'!$F$59=TRUE,IF('Customer Sector'!$F$44=TRUE,Y51-Y52,Y37)*(1-'Customer Sector'!$F$60),IF('Customer Sector'!$F$44=TRUE,Y51-Y52,Y37))</f>
        <v>0.10344431472281072</v>
      </c>
      <c r="Z20" s="269">
        <f>IF('Customer Sector'!$F$59=TRUE,IF('Customer Sector'!$F$44=TRUE,Z51-Z52,Z37)*(1-'Customer Sector'!$F$60),IF('Customer Sector'!$F$44=TRUE,Z51-Z52,Z37))</f>
        <v>0.10560783756634455</v>
      </c>
      <c r="AA20" s="269">
        <f>IF('Customer Sector'!$F$59=TRUE,IF('Customer Sector'!$F$44=TRUE,AA51-AA52,AA37)*(1-'Customer Sector'!$F$60),IF('Customer Sector'!$F$44=TRUE,AA51-AA52,AA37))</f>
        <v>0.10791181647793473</v>
      </c>
      <c r="AB20" s="269">
        <f>IF('Customer Sector'!$F$59=TRUE,IF('Customer Sector'!$F$44=TRUE,AB51-AB52,AB37)*(1-'Customer Sector'!$F$60),IF('Customer Sector'!$F$44=TRUE,AB51-AB52,AB37))</f>
        <v>0.11036307259585283</v>
      </c>
      <c r="AC20" s="269">
        <f>IF('Customer Sector'!$F$59=TRUE,IF('Customer Sector'!$F$44=TRUE,AC51-AC52,AC37)*(1-'Customer Sector'!$F$60),IF('Customer Sector'!$F$44=TRUE,AC51-AC52,AC37))</f>
        <v>0.11296877913554904</v>
      </c>
      <c r="AD20" s="269">
        <f>IF('Customer Sector'!$F$59=TRUE,IF('Customer Sector'!$F$44=TRUE,AD51-AD52,AD37)*(1-'Customer Sector'!$F$60),IF('Customer Sector'!$F$44=TRUE,AD51-AD52,AD37))</f>
        <v>0.11573647935136099</v>
      </c>
      <c r="AE20" s="269">
        <f>IF('Customer Sector'!$F$59=TRUE,IF('Customer Sector'!$F$44=TRUE,AE51-AE52,AE37)*(1-'Customer Sector'!$F$60),IF('Customer Sector'!$F$44=TRUE,AE51-AE52,AE37))</f>
        <v>0.11867410541060937</v>
      </c>
      <c r="AF20" s="269">
        <f>IF('Customer Sector'!$F$59=TRUE,IF('Customer Sector'!$F$44=TRUE,AF51-AF52,AF37)*(1-'Customer Sector'!$F$60),IF('Customer Sector'!$F$44=TRUE,AF51-AF52,AF37))</f>
        <v>0.12178999822641011</v>
      </c>
      <c r="AH20" s="8"/>
      <c r="AI20" s="420"/>
      <c r="AJ20" s="404" t="s">
        <v>209</v>
      </c>
      <c r="AK20" s="404"/>
      <c r="AL20" s="52" t="s">
        <v>19</v>
      </c>
      <c r="AM20" s="269">
        <f>IF('Customer Sector'!$L$59,IF('Customer Sector'!$L$44=TRUE,AM51-AM52,AM37)*(1-'Customer Sector'!$L$60),IF('Customer Sector'!$L$44=TRUE,AM51-AM52,AM37))</f>
        <v>2.2831050228310504E-2</v>
      </c>
      <c r="AN20" s="269">
        <f>IF('Customer Sector'!$L$59,IF('Customer Sector'!$L$44=TRUE,AN51-AN52,AN37)*(1-'Customer Sector'!$L$60),IF('Customer Sector'!$L$44=TRUE,AN51-AN52,AN37))</f>
        <v>2.3433534425547551E-2</v>
      </c>
      <c r="AO20" s="269">
        <f>IF('Customer Sector'!$L$59,IF('Customer Sector'!$L$44=TRUE,AO51-AO52,AO37)*(1-'Customer Sector'!$L$60),IF('Customer Sector'!$L$44=TRUE,AO51-AO52,AO37))</f>
        <v>2.3645064285195864E-2</v>
      </c>
      <c r="AP20" s="269">
        <f>IF('Customer Sector'!$L$59,IF('Customer Sector'!$L$44=TRUE,AP51-AP52,AP37)*(1-'Customer Sector'!$L$60),IF('Customer Sector'!$L$44=TRUE,AP51-AP52,AP37))</f>
        <v>2.3875763918959198E-2</v>
      </c>
      <c r="AQ20" s="269">
        <f>IF('Customer Sector'!$L$59,IF('Customer Sector'!$L$44=TRUE,AQ51-AQ52,AQ37)*(1-'Customer Sector'!$L$60),IF('Customer Sector'!$L$44=TRUE,AQ51-AQ52,AQ37))</f>
        <v>2.4126585636571062E-2</v>
      </c>
      <c r="AR20" s="269">
        <f>IF('Customer Sector'!$L$59,IF('Customer Sector'!$L$44=TRUE,AR51-AR52,AR37)*(1-'Customer Sector'!$L$60),IF('Customer Sector'!$L$44=TRUE,AR51-AR52,AR37))</f>
        <v>2.439853303296367E-2</v>
      </c>
      <c r="AS20" s="269">
        <f>IF('Customer Sector'!$L$59,IF('Customer Sector'!$L$44=TRUE,AS51-AS52,AS37)*(1-'Customer Sector'!$L$60),IF('Customer Sector'!$L$44=TRUE,AS51-AS52,AS37))</f>
        <v>2.4692663735816564E-2</v>
      </c>
      <c r="AT20" s="269">
        <f>IF('Customer Sector'!$L$59,IF('Customer Sector'!$L$44=TRUE,AT51-AT52,AT37)*(1-'Customer Sector'!$L$60),IF('Customer Sector'!$L$44=TRUE,AT51-AT52,AT37))</f>
        <v>2.5010092300446776E-2</v>
      </c>
      <c r="AU20" s="269">
        <f>IF('Customer Sector'!$L$59,IF('Customer Sector'!$L$44=TRUE,AU51-AU52,AU37)*(1-'Customer Sector'!$L$60),IF('Customer Sector'!$L$44=TRUE,AU51-AU52,AU37))</f>
        <v>2.5351993259857857E-2</v>
      </c>
      <c r="AV20" s="269">
        <f>IF('Customer Sector'!$L$59,IF('Customer Sector'!$L$44=TRUE,AV51-AV52,AV37)*(1-'Customer Sector'!$L$60),IF('Customer Sector'!$L$44=TRUE,AV51-AV52,AV37))</f>
        <v>2.5719604338173548E-2</v>
      </c>
      <c r="AW20" s="269">
        <f>IF('Customer Sector'!$L$59,IF('Customer Sector'!$L$44=TRUE,AW51-AW52,AW37)*(1-'Customer Sector'!$L$60),IF('Customer Sector'!$L$44=TRUE,AW51-AW52,AW37))</f>
        <v>2.6114229836112574E-2</v>
      </c>
      <c r="AX20" s="269">
        <f>IF('Customer Sector'!$L$59,IF('Customer Sector'!$L$44=TRUE,AX51-AX52,AX37)*(1-'Customer Sector'!$L$60),IF('Customer Sector'!$L$44=TRUE,AX51-AX52,AX37))</f>
        <v>2.6537244197615259E-2</v>
      </c>
      <c r="AY20" s="269">
        <f>IF('Customer Sector'!$L$59,IF('Customer Sector'!$L$44=TRUE,AY51-AY52,AY37)*(1-'Customer Sector'!$L$60),IF('Customer Sector'!$L$44=TRUE,AY51-AY52,AY37))</f>
        <v>2.6990095767211911E-2</v>
      </c>
      <c r="AZ20" s="269">
        <f>IF('Customer Sector'!$L$59,IF('Customer Sector'!$L$44=TRUE,AZ51-AZ52,AZ37)*(1-'Customer Sector'!$L$60),IF('Customer Sector'!$L$44=TRUE,AZ51-AZ52,AZ37))</f>
        <v>2.7474310748228484E-2</v>
      </c>
      <c r="BA20" s="269">
        <f>IF('Customer Sector'!$L$59,IF('Customer Sector'!$L$44=TRUE,BA51-BA52,BA37)*(1-'Customer Sector'!$L$60),IF('Customer Sector'!$L$44=TRUE,BA51-BA52,BA37))</f>
        <v>2.7991497372459057E-2</v>
      </c>
      <c r="BB20" s="269">
        <f>IF('Customer Sector'!$L$59,IF('Customer Sector'!$L$44=TRUE,BB51-BB52,BB37)*(1-'Customer Sector'!$L$60),IF('Customer Sector'!$L$44=TRUE,BB51-BB52,BB37))</f>
        <v>2.854335029249783E-2</v>
      </c>
      <c r="BC20" s="269">
        <f>IF('Customer Sector'!$L$59,IF('Customer Sector'!$L$44=TRUE,BC51-BC52,BC37)*(1-'Customer Sector'!$L$60),IF('Customer Sector'!$L$44=TRUE,BC51-BC52,BC37))</f>
        <v>2.91316552085185E-2</v>
      </c>
      <c r="BD20" s="269">
        <f>IF('Customer Sector'!$L$59,IF('Customer Sector'!$L$44=TRUE,BD51-BD52,BD37)*(1-'Customer Sector'!$L$60),IF('Customer Sector'!$L$44=TRUE,BD51-BD52,BD37))</f>
        <v>2.9758293741916977E-2</v>
      </c>
      <c r="BE20" s="269">
        <f>IF('Customer Sector'!$L$59,IF('Customer Sector'!$L$44=TRUE,BE51-BE52,BE37)*(1-'Customer Sector'!$L$60),IF('Customer Sector'!$L$44=TRUE,BE51-BE52,BE37))</f>
        <v>3.042524856889672E-2</v>
      </c>
      <c r="BF20" s="269">
        <f>IF('Customer Sector'!$L$59,IF('Customer Sector'!$L$44=TRUE,BF51-BF52,BF37)*(1-'Customer Sector'!$L$60),IF('Customer Sector'!$L$44=TRUE,BF51-BF52,BF37))</f>
        <v>3.1134608827775939E-2</v>
      </c>
      <c r="BG20" s="269">
        <f>IF('Customer Sector'!$L$59,IF('Customer Sector'!$L$44=TRUE,BG51-BG52,BG37)*(1-'Customer Sector'!$L$60),IF('Customer Sector'!$L$44=TRUE,BG51-BG52,BG37))</f>
        <v>3.1888575814535275E-2</v>
      </c>
      <c r="BH20" s="269">
        <f>IF('Customer Sector'!$L$59,IF('Customer Sector'!$L$44=TRUE,BH51-BH52,BH37)*(1-'Customer Sector'!$L$60),IF('Customer Sector'!$L$44=TRUE,BH51-BH52,BH37))</f>
        <v>3.2689468981904432E-2</v>
      </c>
      <c r="BI20" s="269">
        <f>IF('Customer Sector'!$L$59,IF('Customer Sector'!$L$44=TRUE,BI51-BI52,BI37)*(1-'Customer Sector'!$L$60),IF('Customer Sector'!$L$44=TRUE,BI51-BI52,BI37))</f>
        <v>3.3539732258109724E-2</v>
      </c>
      <c r="BJ20" s="269">
        <f>IF('Customer Sector'!$L$59,IF('Customer Sector'!$L$44=TRUE,BJ51-BJ52,BJ37)*(1-'Customer Sector'!$L$60),IF('Customer Sector'!$L$44=TRUE,BJ51-BJ52,BJ37))</f>
        <v>3.4441940702272043E-2</v>
      </c>
      <c r="BK20" s="269">
        <f>IF('Customer Sector'!$L$59,IF('Customer Sector'!$L$44=TRUE,BK51-BK52,BK37)*(1-'Customer Sector'!$L$60),IF('Customer Sector'!$L$44=TRUE,BK51-BK52,BK37))</f>
        <v>3.5398807514362106E-2</v>
      </c>
      <c r="BL20" s="269">
        <f>IF('Customer Sector'!$L$59,IF('Customer Sector'!$L$44=TRUE,BL51-BL52,BL37)*(1-'Customer Sector'!$L$60),IF('Customer Sector'!$L$44=TRUE,BL51-BL52,BL37))</f>
        <v>3.6413191418583547E-2</v>
      </c>
      <c r="BN20" s="10"/>
      <c r="BO20" s="11" t="s">
        <v>404</v>
      </c>
      <c r="BP20" s="11"/>
      <c r="BQ20" s="446" t="s">
        <v>19</v>
      </c>
      <c r="BR20" s="60">
        <f t="shared" ref="BR20:CA22" si="15">( (G168*BR$8) + (AM169*BR$9) )/BR$7</f>
        <v>0</v>
      </c>
      <c r="BS20" s="451">
        <f t="shared" si="15"/>
        <v>3.8867191309660125E-4</v>
      </c>
      <c r="BT20" s="451">
        <f t="shared" si="15"/>
        <v>3.9685285034338344E-4</v>
      </c>
      <c r="BU20" s="451">
        <f t="shared" si="15"/>
        <v>4.0527991869113232E-4</v>
      </c>
      <c r="BV20" s="451">
        <f t="shared" si="15"/>
        <v>4.1396606051814598E-4</v>
      </c>
      <c r="BW20" s="451">
        <f t="shared" si="15"/>
        <v>4.2292525806869071E-4</v>
      </c>
      <c r="BX20" s="451">
        <f t="shared" si="15"/>
        <v>4.3217263979645478E-4</v>
      </c>
      <c r="BY20" s="451">
        <f t="shared" si="15"/>
        <v>4.4172459977586455E-4</v>
      </c>
      <c r="BZ20" s="451">
        <f t="shared" si="15"/>
        <v>4.5159893208448804E-4</v>
      </c>
      <c r="CA20" s="451">
        <f t="shared" si="15"/>
        <v>4.6181498238374798E-4</v>
      </c>
      <c r="CB20" s="451">
        <f t="shared" ref="CB20:CK22" si="16">( (Q168*CB$8) + (AW169*CB$9) )/CB$7</f>
        <v>4.723938193126314E-4</v>
      </c>
      <c r="CC20" s="451">
        <f t="shared" si="16"/>
        <v>0</v>
      </c>
      <c r="CD20" s="451">
        <f t="shared" si="16"/>
        <v>0</v>
      </c>
      <c r="CE20" s="451">
        <f t="shared" si="16"/>
        <v>0</v>
      </c>
      <c r="CF20" s="451">
        <f t="shared" si="16"/>
        <v>0</v>
      </c>
      <c r="CG20" s="451">
        <f t="shared" si="16"/>
        <v>0</v>
      </c>
      <c r="CH20" s="451">
        <f t="shared" si="16"/>
        <v>0</v>
      </c>
      <c r="CI20" s="451">
        <f t="shared" si="16"/>
        <v>0</v>
      </c>
      <c r="CJ20" s="451">
        <f t="shared" si="16"/>
        <v>0</v>
      </c>
      <c r="CK20" s="451">
        <f t="shared" si="16"/>
        <v>0</v>
      </c>
      <c r="CL20" s="451">
        <f t="shared" ref="CL20:CQ22" si="17">( (AA168*CL$8) + (BG169*CL$9) )/CL$7</f>
        <v>0</v>
      </c>
      <c r="CM20" s="451">
        <f t="shared" si="17"/>
        <v>0</v>
      </c>
      <c r="CN20" s="451">
        <f t="shared" si="17"/>
        <v>0</v>
      </c>
      <c r="CO20" s="451">
        <f t="shared" si="17"/>
        <v>0</v>
      </c>
      <c r="CP20" s="451">
        <f t="shared" si="17"/>
        <v>0</v>
      </c>
      <c r="CQ20" s="452">
        <f t="shared" si="17"/>
        <v>0</v>
      </c>
    </row>
    <row r="21" spans="2:95" x14ac:dyDescent="0.25">
      <c r="B21" s="8"/>
      <c r="C21" s="420"/>
      <c r="D21" s="404"/>
      <c r="E21" s="404" t="s">
        <v>204</v>
      </c>
      <c r="F21" s="52" t="s">
        <v>19</v>
      </c>
      <c r="G21" s="421">
        <f>IF('Customer Sector'!$F$44=TRUE,G52,G38)</f>
        <v>0</v>
      </c>
      <c r="H21" s="421">
        <f>IF('Customer Sector'!$F$44=TRUE,H52,H38)</f>
        <v>1.8450257304749131E-4</v>
      </c>
      <c r="I21" s="421">
        <f>IF('Customer Sector'!$F$44=TRUE,I52,I38)</f>
        <v>3.7135665514529179E-4</v>
      </c>
      <c r="J21" s="421">
        <f>IF('Customer Sector'!$F$44=TRUE,J52,J38)</f>
        <v>5.6098899654877048E-4</v>
      </c>
      <c r="K21" s="421">
        <f>IF('Customer Sector'!$F$44=TRUE,K52,K38)</f>
        <v>7.5385148173124435E-4</v>
      </c>
      <c r="L21" s="421">
        <f>IF('Customer Sector'!$F$44=TRUE,L52,L38)</f>
        <v>9.5042275569002599E-4</v>
      </c>
      <c r="M21" s="421">
        <f>IF('Customer Sector'!$F$44=TRUE,M52,M38)</f>
        <v>1.1512099488894159E-3</v>
      </c>
      <c r="N21" s="421">
        <f>IF('Customer Sector'!$F$44=TRUE,N52,N38)</f>
        <v>1.356750506664176E-3</v>
      </c>
      <c r="O21" s="421">
        <f>IF('Customer Sector'!$F$44=TRUE,O52,O38)</f>
        <v>1.5676141292365214E-3</v>
      </c>
      <c r="P21" s="421">
        <f>IF('Customer Sector'!$F$44=TRUE,P52,P38)</f>
        <v>1.7844048288480048E-3</v>
      </c>
      <c r="Q21" s="421">
        <f>IF('Customer Sector'!$F$44=TRUE,Q52,Q38)</f>
        <v>2.0077631108740123E-3</v>
      </c>
      <c r="R21" s="421">
        <f>IF('Customer Sector'!$F$44=TRUE,R52,R38)</f>
        <v>2.0354674615416096E-3</v>
      </c>
      <c r="S21" s="421">
        <f>IF('Customer Sector'!$F$44=TRUE,S52,S38)</f>
        <v>2.0653170930980472E-3</v>
      </c>
      <c r="T21" s="421">
        <f>IF('Customer Sector'!$F$44=TRUE,T52,T38)</f>
        <v>2.0974130897103453E-3</v>
      </c>
      <c r="U21" s="421">
        <f>IF('Customer Sector'!$F$44=TRUE,U52,U38)</f>
        <v>2.1318617808739459E-3</v>
      </c>
      <c r="V21" s="421">
        <f>IF('Customer Sector'!$F$44=TRUE,V52,V38)</f>
        <v>2.1687750094481475E-3</v>
      </c>
      <c r="W21" s="421">
        <f>IF('Customer Sector'!$F$44=TRUE,W52,W38)</f>
        <v>2.2082704133418009E-3</v>
      </c>
      <c r="X21" s="421">
        <f>IF('Customer Sector'!$F$44=TRUE,X52,X38)</f>
        <v>2.2504717215363116E-3</v>
      </c>
      <c r="Y21" s="421">
        <f>IF('Customer Sector'!$F$44=TRUE,Y52,Y38)</f>
        <v>2.295509065167962E-3</v>
      </c>
      <c r="Z21" s="421">
        <f>IF('Customer Sector'!$F$44=TRUE,Z52,Z38)</f>
        <v>2.3435193044289387E-3</v>
      </c>
      <c r="AA21" s="421">
        <f>IF('Customer Sector'!$F$44=TRUE,AA52,AA38)</f>
        <v>2.3946463720854127E-3</v>
      </c>
      <c r="AB21" s="421">
        <f>IF('Customer Sector'!$F$44=TRUE,AB52,AB38)</f>
        <v>2.4490416344524844E-3</v>
      </c>
      <c r="AC21" s="421">
        <f>IF('Customer Sector'!$F$44=TRUE,AC52,AC38)</f>
        <v>2.5068642707091688E-3</v>
      </c>
      <c r="AD21" s="421">
        <f>IF('Customer Sector'!$F$44=TRUE,AD52,AD38)</f>
        <v>2.5682816714825839E-3</v>
      </c>
      <c r="AE21" s="421">
        <f>IF('Customer Sector'!$F$44=TRUE,AE52,AE38)</f>
        <v>2.6334698576786909E-3</v>
      </c>
      <c r="AF21" s="422">
        <f>IF('Customer Sector'!$F$44=TRUE,AF52,AF38)</f>
        <v>2.7026139205876074E-3</v>
      </c>
      <c r="AH21" s="8"/>
      <c r="AI21" s="420"/>
      <c r="AJ21" s="404"/>
      <c r="AK21" s="404" t="s">
        <v>204</v>
      </c>
      <c r="AL21" s="52" t="s">
        <v>19</v>
      </c>
      <c r="AM21" s="421">
        <f>IF('Customer Sector'!$L$44=TRUE,AM52,AM40)</f>
        <v>0</v>
      </c>
      <c r="AN21" s="421">
        <f>IF('Customer Sector'!$L$44=TRUE,AN52,AN40)</f>
        <v>1.0122192235390068E-4</v>
      </c>
      <c r="AO21" s="421">
        <f>IF('Customer Sector'!$L$44=TRUE,AO52,AO40)</f>
        <v>2.1082523426185843E-4</v>
      </c>
      <c r="AP21" s="421">
        <f>IF('Customer Sector'!$L$44=TRUE,AP52,AP40)</f>
        <v>3.2973665931638048E-4</v>
      </c>
      <c r="AQ21" s="421">
        <f>IF('Customer Sector'!$L$44=TRUE,AQ52,AQ40)</f>
        <v>4.5899725713554603E-4</v>
      </c>
      <c r="AR21" s="421">
        <f>IF('Customer Sector'!$L$44=TRUE,AR52,AR40)</f>
        <v>5.9977807990769475E-4</v>
      </c>
      <c r="AS21" s="421">
        <f>IF('Customer Sector'!$L$44=TRUE,AS52,AS40)</f>
        <v>7.5339822168796438E-4</v>
      </c>
      <c r="AT21" s="421">
        <f>IF('Customer Sector'!$L$44=TRUE,AT52,AT40)</f>
        <v>9.2134567392461474E-4</v>
      </c>
      <c r="AU21" s="421">
        <f>IF('Customer Sector'!$L$44=TRUE,AU52,AU40)</f>
        <v>1.1053014821985415E-3</v>
      </c>
      <c r="AV21" s="421">
        <f>IF('Customer Sector'!$L$44=TRUE,AV52,AV40)</f>
        <v>1.3071677990093937E-3</v>
      </c>
      <c r="AW21" s="421">
        <f>IF('Customer Sector'!$L$44=TRUE,AW52,AW40)</f>
        <v>1.5291005503282721E-3</v>
      </c>
      <c r="AX21" s="421">
        <f>IF('Customer Sector'!$L$44=TRUE,AX52,AX40)</f>
        <v>1.5538698618120825E-3</v>
      </c>
      <c r="AY21" s="421">
        <f>IF('Customer Sector'!$L$44=TRUE,AY52,AY40)</f>
        <v>1.5803862702466007E-3</v>
      </c>
      <c r="AZ21" s="421">
        <f>IF('Customer Sector'!$L$44=TRUE,AZ52,AZ40)</f>
        <v>1.6087391414052086E-3</v>
      </c>
      <c r="BA21" s="421">
        <f>IF('Customer Sector'!$L$44=TRUE,BA52,BA40)</f>
        <v>1.6390226441811442E-3</v>
      </c>
      <c r="BB21" s="421">
        <f>IF('Customer Sector'!$L$44=TRUE,BB52,BB40)</f>
        <v>1.6713360077774417E-3</v>
      </c>
      <c r="BC21" s="421">
        <f>IF('Customer Sector'!$L$44=TRUE,BC52,BC40)</f>
        <v>1.7057837926247703E-3</v>
      </c>
      <c r="BD21" s="421">
        <f>IF('Customer Sector'!$L$44=TRUE,BD52,BD40)</f>
        <v>1.742476175754195E-3</v>
      </c>
      <c r="BE21" s="421">
        <f>IF('Customer Sector'!$L$44=TRUE,BE52,BE40)</f>
        <v>1.7815292513907004E-3</v>
      </c>
      <c r="BF21" s="421">
        <f>IF('Customer Sector'!$L$44=TRUE,BF52,BF40)</f>
        <v>1.8230653475742949E-3</v>
      </c>
      <c r="BG21" s="421">
        <f>IF('Customer Sector'!$L$44=TRUE,BG52,BG40)</f>
        <v>1.8672133596588276E-3</v>
      </c>
      <c r="BH21" s="421">
        <f>IF('Customer Sector'!$L$44=TRUE,BH52,BH40)</f>
        <v>1.914109101584359E-3</v>
      </c>
      <c r="BI21" s="421">
        <f>IF('Customer Sector'!$L$44=TRUE,BI52,BI40)</f>
        <v>1.9638956758669924E-3</v>
      </c>
      <c r="BJ21" s="421">
        <f>IF('Customer Sector'!$L$44=TRUE,BJ52,BJ40)</f>
        <v>2.0167238633010979E-3</v>
      </c>
      <c r="BK21" s="421">
        <f>IF('Customer Sector'!$L$44=TRUE,BK52,BK40)</f>
        <v>2.0727525334223386E-3</v>
      </c>
      <c r="BL21" s="422">
        <f>IF('Customer Sector'!$L$44=TRUE,BL52,BL40)</f>
        <v>2.13214907683654E-3</v>
      </c>
      <c r="BN21" s="10"/>
      <c r="BO21" s="11" t="s">
        <v>365</v>
      </c>
      <c r="BP21" s="11"/>
      <c r="BQ21" s="446" t="s">
        <v>19</v>
      </c>
      <c r="BR21" s="451">
        <f t="shared" si="15"/>
        <v>0</v>
      </c>
      <c r="BS21" s="451">
        <f t="shared" si="15"/>
        <v>1.2769697309320511E-4</v>
      </c>
      <c r="BT21" s="451">
        <f t="shared" si="15"/>
        <v>2.6202287812551826E-4</v>
      </c>
      <c r="BU21" s="451">
        <f t="shared" si="15"/>
        <v>4.0374037644987993E-4</v>
      </c>
      <c r="BV21" s="451">
        <f t="shared" si="15"/>
        <v>5.5369449485745414E-4</v>
      </c>
      <c r="BW21" s="451">
        <f t="shared" si="15"/>
        <v>7.128227247501335E-4</v>
      </c>
      <c r="BX21" s="451">
        <f t="shared" si="15"/>
        <v>8.8216649444850654E-4</v>
      </c>
      <c r="BY21" s="451">
        <f t="shared" si="15"/>
        <v>1.06288422336685E-3</v>
      </c>
      <c r="BZ21" s="451">
        <f t="shared" si="15"/>
        <v>1.2562662024995267E-3</v>
      </c>
      <c r="CA21" s="451">
        <f t="shared" si="15"/>
        <v>1.4637515882801315E-3</v>
      </c>
      <c r="CB21" s="451">
        <f t="shared" si="16"/>
        <v>1.6869478479016068E-3</v>
      </c>
      <c r="CC21" s="451">
        <f t="shared" si="16"/>
        <v>1.7129373762177962E-3</v>
      </c>
      <c r="CD21" s="451">
        <f t="shared" si="16"/>
        <v>1.7408090069351355E-3</v>
      </c>
      <c r="CE21" s="451">
        <f t="shared" si="16"/>
        <v>1.7706566187477464E-3</v>
      </c>
      <c r="CF21" s="451">
        <f t="shared" si="16"/>
        <v>1.8025790658317417E-3</v>
      </c>
      <c r="CG21" s="451">
        <f t="shared" si="16"/>
        <v>1.8366804398474595E-3</v>
      </c>
      <c r="CH21" s="451">
        <f t="shared" si="16"/>
        <v>1.8730703456804935E-3</v>
      </c>
      <c r="CI21" s="451">
        <f t="shared" si="16"/>
        <v>1.9118641916350152E-3</v>
      </c>
      <c r="CJ21" s="451">
        <f t="shared" si="16"/>
        <v>1.9531834948302309E-3</v>
      </c>
      <c r="CK21" s="451">
        <f t="shared" si="16"/>
        <v>1.9971562025903966E-3</v>
      </c>
      <c r="CL21" s="451">
        <f t="shared" si="17"/>
        <v>2.0439170306604929E-3</v>
      </c>
      <c r="CM21" s="451">
        <f t="shared" si="17"/>
        <v>2.0936078191236868E-3</v>
      </c>
      <c r="CN21" s="451">
        <f t="shared" si="17"/>
        <v>2.1463779069429856E-3</v>
      </c>
      <c r="CO21" s="451">
        <f t="shared" si="17"/>
        <v>2.2023845260985392E-3</v>
      </c>
      <c r="CP21" s="451">
        <f t="shared" si="17"/>
        <v>2.261793216343459E-3</v>
      </c>
      <c r="CQ21" s="452">
        <f t="shared" si="17"/>
        <v>2.3247782616553376E-3</v>
      </c>
    </row>
    <row r="22" spans="2:95" x14ac:dyDescent="0.25">
      <c r="B22" s="8"/>
      <c r="C22" s="420"/>
      <c r="D22" s="51" t="s">
        <v>101</v>
      </c>
      <c r="E22" s="51"/>
      <c r="F22" s="52" t="s">
        <v>19</v>
      </c>
      <c r="G22" s="493">
        <v>0</v>
      </c>
      <c r="H22" s="489">
        <f>IF('Customer Sector'!$F$50,H91,IF('Customer Sector'!$F$51,H92,0))+IF('Customer Sector'!$F$84,H11/H58,0)</f>
        <v>6.9727328247562871E-4</v>
      </c>
      <c r="I22" s="489">
        <f>IF('Customer Sector'!$F$50,I91,IF('Customer Sector'!$F$51,I92,0))+IF('Customer Sector'!$F$84,I11/I58,0)</f>
        <v>7.100436446132232E-4</v>
      </c>
      <c r="J22" s="489">
        <f>IF('Customer Sector'!$F$50,J91,IF('Customer Sector'!$F$51,J92,0))+IF('Customer Sector'!$F$84,J11/J58,0)</f>
        <v>7.2304774973297784E-4</v>
      </c>
      <c r="K22" s="489">
        <f>IF('Customer Sector'!$F$50,K91,IF('Customer Sector'!$F$51,K92,0))+IF('Customer Sector'!$F$84,K11/K58,0)</f>
        <v>7.3628987759257109E-4</v>
      </c>
      <c r="L22" s="489">
        <f>IF('Customer Sector'!$F$50,L91,IF('Customer Sector'!$F$51,L92,0))+IF('Customer Sector'!$F$84,L11/L58,0)</f>
        <v>7.4977438641383911E-4</v>
      </c>
      <c r="M22" s="489">
        <f>IF('Customer Sector'!$F$50,M91,IF('Customer Sector'!$F$51,M92,0))+IF('Customer Sector'!$F$84,M11/M58,0)</f>
        <v>7.6350571432446496E-4</v>
      </c>
      <c r="N22" s="489">
        <f>IF('Customer Sector'!$F$50,N91,IF('Customer Sector'!$F$51,N92,0))+IF('Customer Sector'!$F$84,N11/N58,0)</f>
        <v>7.7748838082623145E-4</v>
      </c>
      <c r="O22" s="489">
        <f>IF('Customer Sector'!$F$50,O91,IF('Customer Sector'!$F$51,O92,0))+IF('Customer Sector'!$F$84,O11/O58,0)</f>
        <v>7.9172698829032683E-4</v>
      </c>
      <c r="P22" s="489">
        <f>IF('Customer Sector'!$F$50,P91,IF('Customer Sector'!$F$51,P92,0))+IF('Customer Sector'!$F$84,P11/P58,0)</f>
        <v>8.0622622348020597E-4</v>
      </c>
      <c r="Q22" s="489">
        <f>IF('Customer Sector'!$F$50,Q91,IF('Customer Sector'!$F$51,Q92,0))+IF('Customer Sector'!$F$84,Q11/Q58,0)</f>
        <v>8.2099085910251445E-4</v>
      </c>
      <c r="R22" s="489">
        <f>IF('Customer Sector'!$F$50,R91,IF('Customer Sector'!$F$51,R92,0))+IF('Customer Sector'!$F$84,R11/R58,0)</f>
        <v>0</v>
      </c>
      <c r="S22" s="489">
        <f>IF('Customer Sector'!$F$50,S91,IF('Customer Sector'!$F$51,S92,0))+IF('Customer Sector'!$F$84,S11/S58,0)</f>
        <v>0</v>
      </c>
      <c r="T22" s="489">
        <f>IF('Customer Sector'!$F$50,T91,IF('Customer Sector'!$F$51,T92,0))+IF('Customer Sector'!$F$84,T11/T58,0)</f>
        <v>0</v>
      </c>
      <c r="U22" s="489">
        <f>IF('Customer Sector'!$F$50,U91,IF('Customer Sector'!$F$51,U92,0))+IF('Customer Sector'!$F$84,U11/U58,0)</f>
        <v>0</v>
      </c>
      <c r="V22" s="489">
        <f>IF('Customer Sector'!$F$50,V91,IF('Customer Sector'!$F$51,V92,0))+IF('Customer Sector'!$F$84,V11/V58,0)</f>
        <v>0</v>
      </c>
      <c r="W22" s="489">
        <f>IF('Customer Sector'!$F$50,W91,IF('Customer Sector'!$F$51,W92,0))+IF('Customer Sector'!$F$84,W11/W58,0)</f>
        <v>0</v>
      </c>
      <c r="X22" s="489">
        <f>IF('Customer Sector'!$F$50,X91,IF('Customer Sector'!$F$51,X92,0))+IF('Customer Sector'!$F$84,X11/X58,0)</f>
        <v>0</v>
      </c>
      <c r="Y22" s="489">
        <f>IF('Customer Sector'!$F$50,Y91,IF('Customer Sector'!$F$51,Y92,0))+IF('Customer Sector'!$F$84,Y11/Y58,0)</f>
        <v>0</v>
      </c>
      <c r="Z22" s="489">
        <f>IF('Customer Sector'!$F$50,Z91,IF('Customer Sector'!$F$51,Z92,0))+IF('Customer Sector'!$F$84,Z11/Z58,0)</f>
        <v>0</v>
      </c>
      <c r="AA22" s="489">
        <f>IF('Customer Sector'!$F$50,AA91,IF('Customer Sector'!$F$51,AA92,0))+IF('Customer Sector'!$F$84,AA11/AA58,0)</f>
        <v>0</v>
      </c>
      <c r="AB22" s="489">
        <f>IF('Customer Sector'!$F$50,AB91,IF('Customer Sector'!$F$51,AB92,0))+IF('Customer Sector'!$F$84,AB11/AB58,0)</f>
        <v>0</v>
      </c>
      <c r="AC22" s="489">
        <f>IF('Customer Sector'!$F$50,AC91,IF('Customer Sector'!$F$51,AC92,0))+IF('Customer Sector'!$F$84,AC11/AC58,0)</f>
        <v>0</v>
      </c>
      <c r="AD22" s="489">
        <f>IF('Customer Sector'!$F$50,AD91,IF('Customer Sector'!$F$51,AD92,0))+IF('Customer Sector'!$F$84,AD11/AD58,0)</f>
        <v>0</v>
      </c>
      <c r="AE22" s="489">
        <f>IF('Customer Sector'!$F$50,AE91,IF('Customer Sector'!$F$51,AE92,0))+IF('Customer Sector'!$F$84,AE11/AE58,0)</f>
        <v>0</v>
      </c>
      <c r="AF22" s="490">
        <f>IF('Customer Sector'!$F$50,AF91,IF('Customer Sector'!$F$51,AF92,0))+IF('Customer Sector'!$F$84,AF11/AF58,0)</f>
        <v>0</v>
      </c>
      <c r="AH22" s="8"/>
      <c r="AI22" s="420"/>
      <c r="AJ22" s="51" t="s">
        <v>101</v>
      </c>
      <c r="AK22" s="51"/>
      <c r="AL22" s="52" t="s">
        <v>19</v>
      </c>
      <c r="AM22" s="489">
        <v>0</v>
      </c>
      <c r="AN22" s="489">
        <f>IF('Customer Sector'!$L$50,AN91,IF('Customer Sector'!$L$51,AN92,0))+IF('Customer Sector'!$L$84,AN11/AN58,0)</f>
        <v>2.4484389404384044E-4</v>
      </c>
      <c r="AO22" s="489">
        <f>IF('Customer Sector'!$L$50,AO91,IF('Customer Sector'!$L$51,AO92,0))+IF('Customer Sector'!$L$84,AO11/AO58,0)</f>
        <v>2.5019523744939135E-4</v>
      </c>
      <c r="AP22" s="489">
        <f>IF('Customer Sector'!$L$50,AP91,IF('Customer Sector'!$L$51,AP92,0))+IF('Customer Sector'!$L$84,AP11/AP58,0)</f>
        <v>2.5573329203229349E-4</v>
      </c>
      <c r="AQ22" s="489">
        <f>IF('Customer Sector'!$L$50,AQ91,IF('Customer Sector'!$L$51,AQ92,0))+IF('Customer Sector'!$L$84,AQ11/AQ58,0)</f>
        <v>2.6146988436329512E-4</v>
      </c>
      <c r="AR22" s="489">
        <f>IF('Customer Sector'!$L$50,AR91,IF('Customer Sector'!$L$51,AR92,0))+IF('Customer Sector'!$L$84,AR11/AR58,0)</f>
        <v>2.6741793980497743E-4</v>
      </c>
      <c r="AS22" s="489">
        <f>IF('Customer Sector'!$L$50,AS91,IF('Customer Sector'!$L$51,AS92,0))+IF('Customer Sector'!$L$84,AS11/AS58,0)</f>
        <v>2.7359161130024751E-4</v>
      </c>
      <c r="AT22" s="489">
        <f>IF('Customer Sector'!$L$50,AT91,IF('Customer Sector'!$L$51,AT92,0))+IF('Customer Sector'!$L$84,AT11/AT58,0)</f>
        <v>2.8000642649013858E-4</v>
      </c>
      <c r="AU22" s="489">
        <f>IF('Customer Sector'!$L$50,AU91,IF('Customer Sector'!$L$51,AU92,0))+IF('Customer Sector'!$L$84,AU11/AU58,0)</f>
        <v>2.8667945627565438E-4</v>
      </c>
      <c r="AV22" s="489">
        <f>IF('Customer Sector'!$L$50,AV91,IF('Customer Sector'!$L$51,AV92,0))+IF('Customer Sector'!$L$84,AV11/AV58,0)</f>
        <v>2.9362950855908601E-4</v>
      </c>
      <c r="AW22" s="489">
        <f>IF('Customer Sector'!$L$50,AW91,IF('Customer Sector'!$L$51,AW92,0))+IF('Customer Sector'!$L$84,AW11/AW58,0)</f>
        <v>3.0087735166367763E-4</v>
      </c>
      <c r="AX22" s="489">
        <f>IF('Customer Sector'!$L$50,AX91,IF('Customer Sector'!$L$51,AX92,0))+IF('Customer Sector'!$L$84,AX11/AX58,0)</f>
        <v>0</v>
      </c>
      <c r="AY22" s="489">
        <f>IF('Customer Sector'!$L$50,AY91,IF('Customer Sector'!$L$51,AY92,0))+IF('Customer Sector'!$L$84,AY11/AY58,0)</f>
        <v>0</v>
      </c>
      <c r="AZ22" s="489">
        <f>IF('Customer Sector'!$L$50,AZ91,IF('Customer Sector'!$L$51,AZ92,0))+IF('Customer Sector'!$L$84,AZ11/AZ58,0)</f>
        <v>0</v>
      </c>
      <c r="BA22" s="489">
        <f>IF('Customer Sector'!$L$50,BA91,IF('Customer Sector'!$L$51,BA92,0))+IF('Customer Sector'!$L$84,BA11/BA58,0)</f>
        <v>0</v>
      </c>
      <c r="BB22" s="489">
        <f>IF('Customer Sector'!$L$50,BB91,IF('Customer Sector'!$L$51,BB92,0))+IF('Customer Sector'!$L$84,BB11/BB58,0)</f>
        <v>0</v>
      </c>
      <c r="BC22" s="489">
        <f>IF('Customer Sector'!$L$50,BC91,IF('Customer Sector'!$L$51,BC92,0))+IF('Customer Sector'!$L$84,BC11/BC58,0)</f>
        <v>0</v>
      </c>
      <c r="BD22" s="489">
        <f>IF('Customer Sector'!$L$50,BD91,IF('Customer Sector'!$L$51,BD92,0))+IF('Customer Sector'!$L$84,BD11/BD58,0)</f>
        <v>0</v>
      </c>
      <c r="BE22" s="489">
        <f>IF('Customer Sector'!$L$50,BE91,IF('Customer Sector'!$L$51,BE92,0))+IF('Customer Sector'!$L$84,BE11/BE58,0)</f>
        <v>0</v>
      </c>
      <c r="BF22" s="489">
        <f>IF('Customer Sector'!$L$50,BF91,IF('Customer Sector'!$L$51,BF92,0))+IF('Customer Sector'!$L$84,BF11/BF58,0)</f>
        <v>0</v>
      </c>
      <c r="BG22" s="489">
        <f>IF('Customer Sector'!$L$50,BG91,IF('Customer Sector'!$L$51,BG92,0))+IF('Customer Sector'!$L$84,BG11/BG58,0)</f>
        <v>0</v>
      </c>
      <c r="BH22" s="489">
        <f>IF('Customer Sector'!$L$50,BH91,IF('Customer Sector'!$L$51,BH92,0))+IF('Customer Sector'!$L$84,BH11/BH58,0)</f>
        <v>0</v>
      </c>
      <c r="BI22" s="489">
        <f>IF('Customer Sector'!$L$50,BI91,IF('Customer Sector'!$L$51,BI92,0))+IF('Customer Sector'!$L$84,BI11/BI58,0)</f>
        <v>0</v>
      </c>
      <c r="BJ22" s="489">
        <f>IF('Customer Sector'!$L$50,BJ91,IF('Customer Sector'!$L$51,BJ92,0))+IF('Customer Sector'!$L$84,BJ11/BJ58,0)</f>
        <v>0</v>
      </c>
      <c r="BK22" s="489">
        <f>IF('Customer Sector'!$L$50,BK91,IF('Customer Sector'!$L$51,BK92,0))+IF('Customer Sector'!$L$84,BK11/BK58,0)</f>
        <v>0</v>
      </c>
      <c r="BL22" s="490">
        <f>IF('Customer Sector'!$L$50,BL91,IF('Customer Sector'!$L$51,BL92,0))+IF('Customer Sector'!$L$84,BL11/BL58,0)</f>
        <v>0</v>
      </c>
      <c r="BN22" s="10"/>
      <c r="BO22" s="11" t="s">
        <v>449</v>
      </c>
      <c r="BP22" s="11"/>
      <c r="BQ22" s="446" t="s">
        <v>19</v>
      </c>
      <c r="BR22" s="451">
        <f t="shared" si="15"/>
        <v>0</v>
      </c>
      <c r="BS22" s="451">
        <f t="shared" si="15"/>
        <v>-2.1955594906335893E-4</v>
      </c>
      <c r="BT22" s="451">
        <f t="shared" si="15"/>
        <v>-2.4533681547458247E-4</v>
      </c>
      <c r="BU22" s="451">
        <f t="shared" si="15"/>
        <v>-2.7427986149518302E-4</v>
      </c>
      <c r="BV22" s="451">
        <f t="shared" si="15"/>
        <v>-3.0679390555141351E-4</v>
      </c>
      <c r="BW22" s="451">
        <f t="shared" si="15"/>
        <v>-3.4334400491015332E-4</v>
      </c>
      <c r="BX22" s="451">
        <f t="shared" si="15"/>
        <v>-3.8445979592179969E-4</v>
      </c>
      <c r="BY22" s="451">
        <f t="shared" si="15"/>
        <v>-4.3074518986440497E-4</v>
      </c>
      <c r="BZ22" s="451">
        <f t="shared" si="15"/>
        <v>-4.8288966996437105E-4</v>
      </c>
      <c r="CA22" s="451">
        <f t="shared" si="15"/>
        <v>-5.4168148537713868E-4</v>
      </c>
      <c r="CB22" s="451">
        <f t="shared" si="16"/>
        <v>-6.0802309976600933E-4</v>
      </c>
      <c r="CC22" s="451">
        <f t="shared" si="16"/>
        <v>-1.5781729415013463E-4</v>
      </c>
      <c r="CD22" s="451">
        <f t="shared" si="16"/>
        <v>-1.6807541826990374E-4</v>
      </c>
      <c r="CE22" s="451">
        <f t="shared" si="16"/>
        <v>-1.7900032045744618E-4</v>
      </c>
      <c r="CF22" s="451">
        <f t="shared" si="16"/>
        <v>-1.9063534128723833E-4</v>
      </c>
      <c r="CG22" s="451">
        <f t="shared" si="16"/>
        <v>-2.0302663847091929E-4</v>
      </c>
      <c r="CH22" s="451">
        <f t="shared" si="16"/>
        <v>-2.1622336997152247E-4</v>
      </c>
      <c r="CI22" s="451">
        <f t="shared" si="16"/>
        <v>-2.3027788901970139E-4</v>
      </c>
      <c r="CJ22" s="451">
        <f t="shared" si="16"/>
        <v>-2.4524595180598169E-4</v>
      </c>
      <c r="CK22" s="451">
        <f t="shared" si="16"/>
        <v>-2.6118693867339487E-4</v>
      </c>
      <c r="CL22" s="451">
        <f t="shared" si="17"/>
        <v>-2.7816408968720879E-4</v>
      </c>
      <c r="CM22" s="451">
        <f t="shared" si="17"/>
        <v>-2.9624475551690943E-4</v>
      </c>
      <c r="CN22" s="451">
        <f t="shared" si="17"/>
        <v>-3.1550066462547144E-4</v>
      </c>
      <c r="CO22" s="451">
        <f t="shared" si="17"/>
        <v>-3.3600820782618107E-4</v>
      </c>
      <c r="CP22" s="451">
        <f t="shared" si="17"/>
        <v>-3.5784874133485794E-4</v>
      </c>
      <c r="CQ22" s="452">
        <f t="shared" si="17"/>
        <v>-3.8110890952165294E-4</v>
      </c>
    </row>
    <row r="23" spans="2:95" x14ac:dyDescent="0.25">
      <c r="B23" s="8"/>
      <c r="C23" s="420"/>
      <c r="D23" s="51" t="s">
        <v>400</v>
      </c>
      <c r="E23" s="51"/>
      <c r="F23" s="52" t="s">
        <v>19</v>
      </c>
      <c r="G23" s="491">
        <f>'Utility Calc'!G112/G58</f>
        <v>0</v>
      </c>
      <c r="H23" s="491">
        <f>'Utility Calc'!H112/H58</f>
        <v>2.8702666162933644E-5</v>
      </c>
      <c r="I23" s="491">
        <f ca="1">'Utility Calc'!I112/I58</f>
        <v>2.6568542549377526E-5</v>
      </c>
      <c r="J23" s="491">
        <f ca="1">'Utility Calc'!J112/J58</f>
        <v>2.4428520026197814E-5</v>
      </c>
      <c r="K23" s="491">
        <f ca="1">'Utility Calc'!K112/K58</f>
        <v>2.2282035334224188E-5</v>
      </c>
      <c r="L23" s="491">
        <f ca="1">'Utility Calc'!L112/L58</f>
        <v>2.0128521466581349E-5</v>
      </c>
      <c r="M23" s="491">
        <f ca="1">'Utility Calc'!M112/M58</f>
        <v>1.796740750354338E-5</v>
      </c>
      <c r="N23" s="491">
        <f ca="1">'Utility Calc'!N112/N58</f>
        <v>1.5798118445739365E-5</v>
      </c>
      <c r="O23" s="491">
        <f ca="1">'Utility Calc'!O112/O58</f>
        <v>1.3620075045661029E-5</v>
      </c>
      <c r="P23" s="491">
        <f ca="1">'Utility Calc'!P112/P58</f>
        <v>1.1432693637420264E-5</v>
      </c>
      <c r="Q23" s="491">
        <f ca="1">'Utility Calc'!Q112/Q58</f>
        <v>9.2353859647058783E-6</v>
      </c>
      <c r="R23" s="491">
        <f>'Utility Calc'!R112/R58</f>
        <v>0</v>
      </c>
      <c r="S23" s="491">
        <f>'Utility Calc'!S112/S58</f>
        <v>0</v>
      </c>
      <c r="T23" s="491">
        <f>'Utility Calc'!T112/T58</f>
        <v>0</v>
      </c>
      <c r="U23" s="491">
        <f>'Utility Calc'!U112/U58</f>
        <v>0</v>
      </c>
      <c r="V23" s="491">
        <f>'Utility Calc'!V112/V58</f>
        <v>0</v>
      </c>
      <c r="W23" s="491">
        <f>'Utility Calc'!W112/W58</f>
        <v>0</v>
      </c>
      <c r="X23" s="491">
        <f>'Utility Calc'!X112/X58</f>
        <v>0</v>
      </c>
      <c r="Y23" s="491">
        <f>'Utility Calc'!Y112/Y58</f>
        <v>0</v>
      </c>
      <c r="Z23" s="491">
        <f>'Utility Calc'!Z112/Z58</f>
        <v>0</v>
      </c>
      <c r="AA23" s="491">
        <f>'Utility Calc'!AA112/AA58</f>
        <v>0</v>
      </c>
      <c r="AB23" s="491">
        <f>'Utility Calc'!AB112/AB58</f>
        <v>0</v>
      </c>
      <c r="AC23" s="491">
        <f>'Utility Calc'!AC112/AC58</f>
        <v>0</v>
      </c>
      <c r="AD23" s="491">
        <f>'Utility Calc'!AD112/AD58</f>
        <v>0</v>
      </c>
      <c r="AE23" s="491">
        <f>'Utility Calc'!AE112/AE58</f>
        <v>0</v>
      </c>
      <c r="AF23" s="492">
        <f>'Utility Calc'!AF112/AF58</f>
        <v>0</v>
      </c>
      <c r="AH23" s="8"/>
      <c r="AI23" s="420"/>
      <c r="AJ23" s="51" t="s">
        <v>400</v>
      </c>
      <c r="AK23" s="51"/>
      <c r="AL23" s="52" t="s">
        <v>19</v>
      </c>
      <c r="AM23" s="491">
        <f>'Utility Calc'!G113/AM58</f>
        <v>0</v>
      </c>
      <c r="AN23" s="491">
        <f>'Utility Calc'!H113/AN58</f>
        <v>2.1106132550166771E-4</v>
      </c>
      <c r="AO23" s="491">
        <f>'Utility Calc'!I113/AO58</f>
        <v>2.1674440577324923E-4</v>
      </c>
      <c r="AP23" s="491">
        <f>'Utility Calc'!J113/AP58</f>
        <v>2.2273137223996982E-4</v>
      </c>
      <c r="AQ23" s="491">
        <f>'Utility Calc'!K113/AQ58</f>
        <v>2.2904249328519605E-4</v>
      </c>
      <c r="AR23" s="491">
        <f>'Utility Calc'!L113/AR58</f>
        <v>2.3569982234632184E-4</v>
      </c>
      <c r="AS23" s="491">
        <f>'Utility Calc'!M113/AS58</f>
        <v>2.427274031914843E-4</v>
      </c>
      <c r="AT23" s="491">
        <f>'Utility Calc'!N113/AT58</f>
        <v>2.5015150447999212E-4</v>
      </c>
      <c r="AU23" s="491">
        <f>'Utility Calc'!O113/AU58</f>
        <v>2.5800088859639887E-4</v>
      </c>
      <c r="AV23" s="491">
        <f>'Utility Calc'!P113/AV58</f>
        <v>2.6630712074285481E-4</v>
      </c>
      <c r="AW23" s="491">
        <f>'Utility Calc'!Q113/AW58</f>
        <v>2.7510492549778152E-4</v>
      </c>
      <c r="AX23" s="491">
        <f>'Utility Calc'!R113/AX58</f>
        <v>0</v>
      </c>
      <c r="AY23" s="491">
        <f>'Utility Calc'!S113/AY58</f>
        <v>0</v>
      </c>
      <c r="AZ23" s="491">
        <f>'Utility Calc'!T113/AZ58</f>
        <v>0</v>
      </c>
      <c r="BA23" s="491">
        <f>'Utility Calc'!U113/BA58</f>
        <v>0</v>
      </c>
      <c r="BB23" s="491">
        <f>'Utility Calc'!V113/BB58</f>
        <v>0</v>
      </c>
      <c r="BC23" s="491">
        <f>'Utility Calc'!W113/BC58</f>
        <v>0</v>
      </c>
      <c r="BD23" s="491">
        <f>'Utility Calc'!X113/BD58</f>
        <v>0</v>
      </c>
      <c r="BE23" s="491">
        <f>'Utility Calc'!Y113/BE58</f>
        <v>0</v>
      </c>
      <c r="BF23" s="491">
        <f>'Utility Calc'!Z113/BF58</f>
        <v>0</v>
      </c>
      <c r="BG23" s="491">
        <f>'Utility Calc'!AA113/BG58</f>
        <v>0</v>
      </c>
      <c r="BH23" s="491">
        <f>'Utility Calc'!AB113/BH58</f>
        <v>0</v>
      </c>
      <c r="BI23" s="491">
        <f>'Utility Calc'!AC113/BI58</f>
        <v>0</v>
      </c>
      <c r="BJ23" s="491">
        <f>'Utility Calc'!AD113/BJ58</f>
        <v>0</v>
      </c>
      <c r="BK23" s="491">
        <f>'Utility Calc'!AE113/BK58</f>
        <v>0</v>
      </c>
      <c r="BL23" s="492">
        <f>'Utility Calc'!AF113/BL58</f>
        <v>0</v>
      </c>
      <c r="BO23" s="11" t="s">
        <v>400</v>
      </c>
      <c r="BQ23" s="612" t="s">
        <v>19</v>
      </c>
      <c r="BR23" s="656">
        <f>( (G23*BR$8) + (AM23*BR$9) )/BR$7</f>
        <v>0</v>
      </c>
      <c r="BS23" s="656">
        <f t="shared" ref="BS23:CQ23" si="18">( (H23*BS$8) + (AN23*BS$9) )/BS$7</f>
        <v>1.5308921891345537E-4</v>
      </c>
      <c r="BT23" s="656">
        <f t="shared" ca="1" si="18"/>
        <v>1.5609237850520513E-4</v>
      </c>
      <c r="BU23" s="656">
        <f t="shared" ca="1" si="18"/>
        <v>1.5927191337514209E-4</v>
      </c>
      <c r="BV23" s="656">
        <f t="shared" ca="1" si="18"/>
        <v>1.6263800386361415E-4</v>
      </c>
      <c r="BW23" s="656">
        <f t="shared" ca="1" si="18"/>
        <v>1.6620160141425685E-4</v>
      </c>
      <c r="BX23" s="656">
        <f t="shared" ca="1" si="18"/>
        <v>1.6997450414045438E-4</v>
      </c>
      <c r="BY23" s="656">
        <f t="shared" ca="1" si="18"/>
        <v>1.7396944166856462E-4</v>
      </c>
      <c r="BZ23" s="656">
        <f t="shared" ca="1" si="18"/>
        <v>1.7820017061694117E-4</v>
      </c>
      <c r="CA23" s="656">
        <f t="shared" ca="1" si="18"/>
        <v>1.8268158230156151E-4</v>
      </c>
      <c r="CB23" s="656">
        <f t="shared" ca="1" si="18"/>
        <v>1.8742982453622944E-4</v>
      </c>
      <c r="CC23" s="656">
        <f t="shared" si="18"/>
        <v>0</v>
      </c>
      <c r="CD23" s="656">
        <f t="shared" si="18"/>
        <v>0</v>
      </c>
      <c r="CE23" s="656">
        <f t="shared" si="18"/>
        <v>0</v>
      </c>
      <c r="CF23" s="656">
        <f t="shared" si="18"/>
        <v>0</v>
      </c>
      <c r="CG23" s="656">
        <f t="shared" si="18"/>
        <v>0</v>
      </c>
      <c r="CH23" s="656">
        <f t="shared" si="18"/>
        <v>0</v>
      </c>
      <c r="CI23" s="656">
        <f t="shared" si="18"/>
        <v>0</v>
      </c>
      <c r="CJ23" s="656">
        <f t="shared" si="18"/>
        <v>0</v>
      </c>
      <c r="CK23" s="656">
        <f t="shared" si="18"/>
        <v>0</v>
      </c>
      <c r="CL23" s="656">
        <f t="shared" si="18"/>
        <v>0</v>
      </c>
      <c r="CM23" s="656">
        <f t="shared" si="18"/>
        <v>0</v>
      </c>
      <c r="CN23" s="656">
        <f t="shared" si="18"/>
        <v>0</v>
      </c>
      <c r="CO23" s="656">
        <f t="shared" si="18"/>
        <v>0</v>
      </c>
      <c r="CP23" s="656">
        <f t="shared" si="18"/>
        <v>0</v>
      </c>
      <c r="CQ23" s="656">
        <f t="shared" si="18"/>
        <v>0</v>
      </c>
    </row>
    <row r="24" spans="2:95" x14ac:dyDescent="0.25">
      <c r="B24" s="2" t="s">
        <v>201</v>
      </c>
      <c r="C24" s="3"/>
      <c r="D24" s="3"/>
      <c r="E24" s="705"/>
      <c r="F24" s="12" t="s">
        <v>8</v>
      </c>
      <c r="G24" s="210">
        <f>G25</f>
        <v>0.12</v>
      </c>
      <c r="H24" s="210">
        <f ca="1">IF(G88=1,AVERAGE(OFFSET(H25,0,0,1,'Utility Sector'!$E$84)),G24)</f>
        <v>0.12447809343495758</v>
      </c>
      <c r="I24" s="210">
        <f ca="1">IF(H88=1,AVERAGE(OFFSET(I25,0,0,1,'Utility Sector'!$E$84)),H24)</f>
        <v>0.12772751583659603</v>
      </c>
      <c r="J24" s="210">
        <f ca="1">IF(I88=1,AVERAGE(OFFSET(J25,0,0,1,'Utility Sector'!$E$84)),I24)</f>
        <v>0.13121701373783376</v>
      </c>
      <c r="K24" s="210">
        <f ca="1">IF(J88=1,AVERAGE(OFFSET(K25,0,0,1,'Utility Sector'!$E$84)),J24)</f>
        <v>0.13496087711330118</v>
      </c>
      <c r="L24" s="210">
        <f ca="1">IF(K88=1,AVERAGE(OFFSET(L25,0,0,1,'Utility Sector'!$E$84)),K24)</f>
        <v>0.13897428828856304</v>
      </c>
      <c r="M24" s="210">
        <f ca="1">IF(L88=1,AVERAGE(OFFSET(M25,0,0,1,'Utility Sector'!$E$84)),L24)</f>
        <v>0.14327337784429534</v>
      </c>
      <c r="N24" s="210">
        <f ca="1">IF(M88=1,AVERAGE(OFFSET(N25,0,0,1,'Utility Sector'!$E$84)),M24)</f>
        <v>0.14787528404857009</v>
      </c>
      <c r="O24" s="210">
        <f ca="1">IF(N88=1,AVERAGE(OFFSET(O25,0,0,1,'Utility Sector'!$E$84)),N24)</f>
        <v>0.15279821604078836</v>
      </c>
      <c r="P24" s="210">
        <f ca="1">IF(O88=1,AVERAGE(OFFSET(P25,0,0,1,'Utility Sector'!$E$84)),O24)</f>
        <v>0.1580615210050198</v>
      </c>
      <c r="Q24" s="210">
        <f ca="1">IF(P88=1,AVERAGE(OFFSET(Q25,0,0,1,'Utility Sector'!$E$84)),P24)</f>
        <v>0.16368575558563672</v>
      </c>
      <c r="R24" s="210">
        <f ca="1">IF(Q88=1,AVERAGE(OFFSET(R25,0,0,1,'Utility Sector'!$E$84)),Q24)</f>
        <v>0.16969276181423315</v>
      </c>
      <c r="S24" s="210">
        <f ca="1">IF(R88=1,AVERAGE(OFFSET(S25,0,0,1,'Utility Sector'!$E$84)),R24)</f>
        <v>0.17610574783395577</v>
      </c>
      <c r="T24" s="210">
        <f ca="1">IF(S88=1,AVERAGE(OFFSET(T25,0,0,1,'Utility Sector'!$E$84)),S24)</f>
        <v>0.18294937372561296</v>
      </c>
      <c r="U24" s="210">
        <f ca="1">IF(T88=1,AVERAGE(OFFSET(U25,0,0,1,'Utility Sector'!$E$84)),T24)</f>
        <v>0.19024984275934054</v>
      </c>
      <c r="V24" s="210">
        <f ca="1">IF(U88=1,AVERAGE(OFFSET(V25,0,0,1,'Utility Sector'!$E$84)),U24)</f>
        <v>0.1980349984162646</v>
      </c>
      <c r="W24" s="210">
        <f ca="1">IF(V88=1,AVERAGE(OFFSET(W25,0,0,1,'Utility Sector'!$E$84)),V24)</f>
        <v>0.20633442754659315</v>
      </c>
      <c r="X24" s="210">
        <f ca="1">IF(W88=1,AVERAGE(OFFSET(X25,0,0,1,'Utility Sector'!$E$84)),W24)</f>
        <v>0.21517957005397592</v>
      </c>
      <c r="Y24" s="210">
        <f ca="1">IF(X88=1,AVERAGE(OFFSET(Y25,0,0,1,'Utility Sector'!$E$84)),X24)</f>
        <v>0.22460383552088622</v>
      </c>
      <c r="Z24" s="210">
        <f ca="1">IF(Y88=1,AVERAGE(OFFSET(Z25,0,0,1,'Utility Sector'!$E$84)),Y24)</f>
        <v>0.23464272721629492</v>
      </c>
      <c r="AA24" s="210">
        <f ca="1">IF(Z88=1,AVERAGE(OFFSET(AA25,0,0,1,'Utility Sector'!$E$84)),Z24)</f>
        <v>0.2453339739551319</v>
      </c>
      <c r="AB24" s="210">
        <f ca="1">IF(AA88=1,AVERAGE(OFFSET(AB25,0,0,1,'Utility Sector'!$E$84)),AA24)</f>
        <v>0.25671767030906778</v>
      </c>
      <c r="AC24" s="210">
        <f ca="1">IF(AB88=1,AVERAGE(OFFSET(AC25,0,0,1,'Utility Sector'!$E$84)),AB24)</f>
        <v>0.26883642570012295</v>
      </c>
      <c r="AD24" s="210">
        <f ca="1">IF(AC88=1,AVERAGE(OFFSET(AD25,0,0,1,'Utility Sector'!$E$84)),AC24)</f>
        <v>0.28173552294263216</v>
      </c>
      <c r="AE24" s="210">
        <f ca="1">IF(AD88=1,AVERAGE(OFFSET(AE25,0,0,1,'Utility Sector'!$E$84)),AD24)</f>
        <v>0.29546308683531319</v>
      </c>
      <c r="AF24" s="219">
        <f ca="1">IF(AE88=1,AVERAGE(OFFSET(AF25,0,0,1,'Utility Sector'!$E$84)),AE24)</f>
        <v>0.31007026344371968</v>
      </c>
      <c r="AH24" s="2" t="s">
        <v>201</v>
      </c>
      <c r="AI24" s="3"/>
      <c r="AJ24" s="3"/>
      <c r="AK24" s="705"/>
      <c r="AL24" s="12" t="s">
        <v>8</v>
      </c>
      <c r="AM24" s="210">
        <f>AM25</f>
        <v>6.1831050228310508E-2</v>
      </c>
      <c r="AN24" s="210">
        <f ca="1">IF(AM88=1,AVERAGE(OFFSET(AN25,0,0,1,'Utility Sector'!$E$84)),AM24)</f>
        <v>6.496853442554755E-2</v>
      </c>
      <c r="AO24" s="210">
        <f ca="1">IF(AN88=1,AVERAGE(OFFSET(AO25,0,0,1,'Utility Sector'!$E$84)),AN24)</f>
        <v>6.787983928519585E-2</v>
      </c>
      <c r="AP24" s="210">
        <f ca="1">IF(AO88=1,AVERAGE(OFFSET(AP25,0,0,1,'Utility Sector'!$E$84)),AO24)</f>
        <v>7.0985799293959179E-2</v>
      </c>
      <c r="AQ24" s="210">
        <f ca="1">IF(AP88=1,AVERAGE(OFFSET(AQ25,0,0,1,'Utility Sector'!$E$84)),AP24)</f>
        <v>7.4298773310946045E-2</v>
      </c>
      <c r="AR24" s="210">
        <f ca="1">IF(AQ88=1,AVERAGE(OFFSET(AR25,0,0,1,'Utility Sector'!$E$84)),AQ24)</f>
        <v>7.7831912906173015E-2</v>
      </c>
      <c r="AS24" s="210">
        <f ca="1">IF(AR88=1,AVERAGE(OFFSET(AS25,0,0,1,'Utility Sector'!$E$84)),AR24)</f>
        <v>8.1599213300784512E-2</v>
      </c>
      <c r="AT24" s="210">
        <f ca="1">IF(AS88=1,AVERAGE(OFFSET(AT25,0,0,1,'Utility Sector'!$E$84)),AS24)</f>
        <v>8.5615567587137648E-2</v>
      </c>
      <c r="AU24" s="210">
        <f ca="1">IF(AT88=1,AVERAGE(OFFSET(AU25,0,0,1,'Utility Sector'!$E$84)),AT24)</f>
        <v>8.989682444018364E-2</v>
      </c>
      <c r="AV24" s="210">
        <f ca="1">IF(AU88=1,AVERAGE(OFFSET(AV25,0,0,1,'Utility Sector'!$E$84)),AU24)</f>
        <v>9.4459849545220506E-2</v>
      </c>
      <c r="AW24" s="210">
        <f ca="1">IF(AV88=1,AVERAGE(OFFSET(AW25,0,0,1,'Utility Sector'!$E$84)),AV24)</f>
        <v>9.9322590981617567E-2</v>
      </c>
      <c r="AX24" s="210">
        <f ca="1">IF(AW88=1,AVERAGE(OFFSET(AX25,0,0,1,'Utility Sector'!$E$84)),AW24)</f>
        <v>0.10450414881757808</v>
      </c>
      <c r="AY24" s="210">
        <f ca="1">IF(AX88=1,AVERAGE(OFFSET(AY25,0,0,1,'Utility Sector'!$E$84)),AX24)</f>
        <v>0.11002484918747231</v>
      </c>
      <c r="AZ24" s="210">
        <f ca="1">IF(AY88=1,AVERAGE(OFFSET(AZ25,0,0,1,'Utility Sector'!$E$84)),AY24)</f>
        <v>0.1159063231408058</v>
      </c>
      <c r="BA24" s="210">
        <f ca="1">IF(AZ88=1,AVERAGE(OFFSET(BA25,0,0,1,'Utility Sector'!$E$84)),AZ24)</f>
        <v>0.12217159057055389</v>
      </c>
      <c r="BB24" s="210">
        <f ca="1">IF(BA88=1,AVERAGE(OFFSET(BB25,0,0,1,'Utility Sector'!$E$84)),BA24)</f>
        <v>0.12884514954846882</v>
      </c>
      <c r="BC24" s="210">
        <f ca="1">IF(BB88=1,AVERAGE(OFFSET(BC25,0,0,1,'Utility Sector'!$E$84)),BB24)</f>
        <v>0.13595307141612761</v>
      </c>
      <c r="BD24" s="210">
        <f ca="1">IF(BC88=1,AVERAGE(OFFSET(BD25,0,0,1,'Utility Sector'!$E$84)),BC24)</f>
        <v>0.14352310200302065</v>
      </c>
      <c r="BE24" s="210">
        <f ca="1">IF(BD88=1,AVERAGE(OFFSET(BE25,0,0,1,'Utility Sector'!$E$84)),BD24)</f>
        <v>0.15158476936697213</v>
      </c>
      <c r="BF24" s="210">
        <f ca="1">IF(BE88=1,AVERAGE(OFFSET(BF25,0,0,1,'Utility Sector'!$E$84)),BE24)</f>
        <v>0.16016949847772624</v>
      </c>
      <c r="BG24" s="210">
        <f ca="1">IF(BF88=1,AVERAGE(OFFSET(BG25,0,0,1,'Utility Sector'!$E$84)),BF24)</f>
        <v>0.16931073329173235</v>
      </c>
      <c r="BH24" s="210">
        <f ca="1">IF(BG88=1,AVERAGE(OFFSET(BH25,0,0,1,'Utility Sector'!$E$84)),BG24)</f>
        <v>0.1790440666951193</v>
      </c>
      <c r="BI24" s="210">
        <f ca="1">IF(BH88=1,AVERAGE(OFFSET(BI25,0,0,1,'Utility Sector'!$E$84)),BH24)</f>
        <v>0.18940737882268355</v>
      </c>
      <c r="BJ24" s="210">
        <f ca="1">IF(BI88=1,AVERAGE(OFFSET(BJ25,0,0,1,'Utility Sector'!$E$84)),BI24)</f>
        <v>0.20044098429354318</v>
      </c>
      <c r="BK24" s="210">
        <f ca="1">IF(BJ88=1,AVERAGE(OFFSET(BK25,0,0,1,'Utility Sector'!$E$84)),BJ24)</f>
        <v>0.21218778893906587</v>
      </c>
      <c r="BL24" s="219">
        <f ca="1">IF(BK88=1,AVERAGE(OFFSET(BL25,0,0,1,'Utility Sector'!$E$84)),BK24)</f>
        <v>0.22469345663589302</v>
      </c>
      <c r="BN24" s="10"/>
      <c r="BO24" s="5" t="s">
        <v>483</v>
      </c>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167"/>
    </row>
    <row r="25" spans="2:95" x14ac:dyDescent="0.25">
      <c r="B25" s="2"/>
      <c r="C25" s="404" t="s">
        <v>200</v>
      </c>
      <c r="D25" s="404"/>
      <c r="E25" s="404"/>
      <c r="F25" s="52" t="s">
        <v>19</v>
      </c>
      <c r="G25" s="269">
        <f>SUM(G26:G27)</f>
        <v>0.12</v>
      </c>
      <c r="H25" s="269">
        <f t="shared" ref="H25:AF25" si="19">SUM(H26:H27)</f>
        <v>0.12447809343495758</v>
      </c>
      <c r="I25" s="269">
        <f t="shared" si="19"/>
        <v>0.12772751583659603</v>
      </c>
      <c r="J25" s="269">
        <f t="shared" si="19"/>
        <v>0.13121701373783376</v>
      </c>
      <c r="K25" s="269">
        <f t="shared" si="19"/>
        <v>0.13496087711330118</v>
      </c>
      <c r="L25" s="269">
        <f t="shared" si="19"/>
        <v>0.13897428828856304</v>
      </c>
      <c r="M25" s="269">
        <f t="shared" si="19"/>
        <v>0.14327337784429534</v>
      </c>
      <c r="N25" s="269">
        <f t="shared" si="19"/>
        <v>0.14787528404857009</v>
      </c>
      <c r="O25" s="269">
        <f t="shared" si="19"/>
        <v>0.15279821604078836</v>
      </c>
      <c r="P25" s="269">
        <f t="shared" si="19"/>
        <v>0.1580615210050198</v>
      </c>
      <c r="Q25" s="269">
        <f t="shared" si="19"/>
        <v>0.16368575558563672</v>
      </c>
      <c r="R25" s="269">
        <f t="shared" si="19"/>
        <v>0.16969276181423315</v>
      </c>
      <c r="S25" s="269">
        <f t="shared" si="19"/>
        <v>0.17610574783395577</v>
      </c>
      <c r="T25" s="269">
        <f t="shared" si="19"/>
        <v>0.18294937372561296</v>
      </c>
      <c r="U25" s="269">
        <f t="shared" si="19"/>
        <v>0.19024984275934054</v>
      </c>
      <c r="V25" s="269">
        <f t="shared" si="19"/>
        <v>0.1980349984162646</v>
      </c>
      <c r="W25" s="269">
        <f t="shared" si="19"/>
        <v>0.20633442754659315</v>
      </c>
      <c r="X25" s="269">
        <f t="shared" si="19"/>
        <v>0.21517957005397592</v>
      </c>
      <c r="Y25" s="269">
        <f t="shared" si="19"/>
        <v>0.22460383552088622</v>
      </c>
      <c r="Z25" s="269">
        <f t="shared" si="19"/>
        <v>0.23464272721629492</v>
      </c>
      <c r="AA25" s="269">
        <f t="shared" si="19"/>
        <v>0.2453339739551319</v>
      </c>
      <c r="AB25" s="269">
        <f t="shared" si="19"/>
        <v>0.25671767030906778</v>
      </c>
      <c r="AC25" s="269">
        <f t="shared" si="19"/>
        <v>0.26883642570012295</v>
      </c>
      <c r="AD25" s="269">
        <f t="shared" si="19"/>
        <v>0.28173552294263216</v>
      </c>
      <c r="AE25" s="269">
        <f t="shared" si="19"/>
        <v>0.29546308683531319</v>
      </c>
      <c r="AF25" s="270">
        <f t="shared" si="19"/>
        <v>0.31007026344371968</v>
      </c>
      <c r="AH25" s="2"/>
      <c r="AI25" s="3" t="s">
        <v>200</v>
      </c>
      <c r="AJ25" s="3"/>
      <c r="AK25" s="3"/>
      <c r="AL25" s="12" t="s">
        <v>19</v>
      </c>
      <c r="AM25" s="210">
        <f>SUM(AM26:AM27)</f>
        <v>6.1831050228310508E-2</v>
      </c>
      <c r="AN25" s="210">
        <f t="shared" ref="AN25:BL25" si="20">SUM(AN26:AN27)</f>
        <v>6.496853442554755E-2</v>
      </c>
      <c r="AO25" s="210">
        <f t="shared" si="20"/>
        <v>6.787983928519585E-2</v>
      </c>
      <c r="AP25" s="210">
        <f t="shared" si="20"/>
        <v>7.0985799293959179E-2</v>
      </c>
      <c r="AQ25" s="210">
        <f t="shared" si="20"/>
        <v>7.4298773310946045E-2</v>
      </c>
      <c r="AR25" s="210">
        <f t="shared" si="20"/>
        <v>7.7831912906173015E-2</v>
      </c>
      <c r="AS25" s="210">
        <f t="shared" si="20"/>
        <v>8.1599213300784512E-2</v>
      </c>
      <c r="AT25" s="210">
        <f t="shared" si="20"/>
        <v>8.5615567587137648E-2</v>
      </c>
      <c r="AU25" s="210">
        <f t="shared" si="20"/>
        <v>8.989682444018364E-2</v>
      </c>
      <c r="AV25" s="210">
        <f t="shared" si="20"/>
        <v>9.4459849545220506E-2</v>
      </c>
      <c r="AW25" s="210">
        <f t="shared" si="20"/>
        <v>9.9322590981617567E-2</v>
      </c>
      <c r="AX25" s="210">
        <f t="shared" si="20"/>
        <v>0.10450414881757808</v>
      </c>
      <c r="AY25" s="210">
        <f t="shared" si="20"/>
        <v>0.11002484918747231</v>
      </c>
      <c r="AZ25" s="210">
        <f t="shared" si="20"/>
        <v>0.1159063231408058</v>
      </c>
      <c r="BA25" s="210">
        <f t="shared" si="20"/>
        <v>0.12217159057055389</v>
      </c>
      <c r="BB25" s="210">
        <f t="shared" si="20"/>
        <v>0.12884514954846882</v>
      </c>
      <c r="BC25" s="210">
        <f t="shared" si="20"/>
        <v>0.13595307141612761</v>
      </c>
      <c r="BD25" s="210">
        <f t="shared" si="20"/>
        <v>0.14352310200302065</v>
      </c>
      <c r="BE25" s="210">
        <f t="shared" si="20"/>
        <v>0.15158476936697213</v>
      </c>
      <c r="BF25" s="210">
        <f t="shared" si="20"/>
        <v>0.16016949847772624</v>
      </c>
      <c r="BG25" s="210">
        <f t="shared" si="20"/>
        <v>0.16931073329173235</v>
      </c>
      <c r="BH25" s="210">
        <f t="shared" si="20"/>
        <v>0.1790440666951193</v>
      </c>
      <c r="BI25" s="210">
        <f t="shared" si="20"/>
        <v>0.18940737882268355</v>
      </c>
      <c r="BJ25" s="210">
        <f t="shared" si="20"/>
        <v>0.20044098429354318</v>
      </c>
      <c r="BK25" s="210">
        <f t="shared" si="20"/>
        <v>0.21218778893906587</v>
      </c>
      <c r="BL25" s="219">
        <f t="shared" si="20"/>
        <v>0.22469345663589302</v>
      </c>
      <c r="BN25" s="10"/>
      <c r="BO25" s="5"/>
      <c r="BP25" s="5" t="s">
        <v>477</v>
      </c>
      <c r="BQ25" s="12" t="s">
        <v>7</v>
      </c>
      <c r="BR25" s="499">
        <f t="shared" ref="BR25:CQ25" si="21">BR20/(BR18+BR19)</f>
        <v>0</v>
      </c>
      <c r="BS25" s="499">
        <f t="shared" si="21"/>
        <v>4.633295053120612E-3</v>
      </c>
      <c r="BT25" s="499">
        <f t="shared" si="21"/>
        <v>4.5632673853129224E-3</v>
      </c>
      <c r="BU25" s="499">
        <f t="shared" si="21"/>
        <v>4.4901107747776468E-3</v>
      </c>
      <c r="BV25" s="499">
        <f t="shared" si="21"/>
        <v>4.4141597086451269E-3</v>
      </c>
      <c r="BW25" s="499">
        <f t="shared" si="21"/>
        <v>4.3357535606311963E-3</v>
      </c>
      <c r="BX25" s="499">
        <f t="shared" si="21"/>
        <v>4.255233446393788E-3</v>
      </c>
      <c r="BY25" s="499">
        <f t="shared" si="21"/>
        <v>4.1729392586474529E-3</v>
      </c>
      <c r="BZ25" s="499">
        <f t="shared" si="21"/>
        <v>4.0892069264901994E-3</v>
      </c>
      <c r="CA25" s="499">
        <f t="shared" si="21"/>
        <v>4.0043659347672586E-3</v>
      </c>
      <c r="CB25" s="499">
        <f t="shared" si="21"/>
        <v>3.9187371304824099E-3</v>
      </c>
      <c r="CC25" s="499">
        <f t="shared" si="21"/>
        <v>0</v>
      </c>
      <c r="CD25" s="499">
        <f t="shared" si="21"/>
        <v>0</v>
      </c>
      <c r="CE25" s="499">
        <f t="shared" si="21"/>
        <v>0</v>
      </c>
      <c r="CF25" s="499">
        <f t="shared" si="21"/>
        <v>0</v>
      </c>
      <c r="CG25" s="499">
        <f t="shared" si="21"/>
        <v>0</v>
      </c>
      <c r="CH25" s="499">
        <f t="shared" si="21"/>
        <v>0</v>
      </c>
      <c r="CI25" s="499">
        <f t="shared" si="21"/>
        <v>0</v>
      </c>
      <c r="CJ25" s="499">
        <f t="shared" si="21"/>
        <v>0</v>
      </c>
      <c r="CK25" s="499">
        <f t="shared" si="21"/>
        <v>0</v>
      </c>
      <c r="CL25" s="499">
        <f t="shared" si="21"/>
        <v>0</v>
      </c>
      <c r="CM25" s="499">
        <f t="shared" si="21"/>
        <v>0</v>
      </c>
      <c r="CN25" s="499">
        <f t="shared" si="21"/>
        <v>0</v>
      </c>
      <c r="CO25" s="499">
        <f t="shared" si="21"/>
        <v>0</v>
      </c>
      <c r="CP25" s="499">
        <f t="shared" si="21"/>
        <v>0</v>
      </c>
      <c r="CQ25" s="500">
        <f t="shared" si="21"/>
        <v>0</v>
      </c>
    </row>
    <row r="26" spans="2:95" x14ac:dyDescent="0.25">
      <c r="B26" s="2"/>
      <c r="C26" s="404"/>
      <c r="D26" s="404" t="s">
        <v>219</v>
      </c>
      <c r="E26" s="404"/>
      <c r="F26" s="52" t="s">
        <v>19</v>
      </c>
      <c r="G26" s="269">
        <f>IF('Customer Sector'!$F$40=TRUE,G54,G42)</f>
        <v>3.9E-2</v>
      </c>
      <c r="H26" s="269">
        <f>IF('Customer Sector'!$F$40=TRUE,H54,H42)</f>
        <v>4.1534999999999996E-2</v>
      </c>
      <c r="I26" s="269">
        <f>IF('Customer Sector'!$F$40=TRUE,I54,I42)</f>
        <v>4.423477499999999E-2</v>
      </c>
      <c r="J26" s="269">
        <f>IF('Customer Sector'!$F$40=TRUE,J54,J42)</f>
        <v>4.7110035374999984E-2</v>
      </c>
      <c r="K26" s="269">
        <f>IF('Customer Sector'!$F$40=TRUE,K54,K42)</f>
        <v>5.017218767437498E-2</v>
      </c>
      <c r="L26" s="269">
        <f>IF('Customer Sector'!$F$40=TRUE,L54,L42)</f>
        <v>5.3433379873209348E-2</v>
      </c>
      <c r="M26" s="269">
        <f>IF('Customer Sector'!$F$40=TRUE,M54,M42)</f>
        <v>5.6906549564967955E-2</v>
      </c>
      <c r="N26" s="269">
        <f>IF('Customer Sector'!$F$40=TRUE,N54,N42)</f>
        <v>6.0605475286690871E-2</v>
      </c>
      <c r="O26" s="269">
        <f>IF('Customer Sector'!$F$40=TRUE,O54,O42)</f>
        <v>6.4544831180325779E-2</v>
      </c>
      <c r="P26" s="269">
        <f>IF('Customer Sector'!$F$40=TRUE,P54,P42)</f>
        <v>6.8740245207046954E-2</v>
      </c>
      <c r="Q26" s="269">
        <f>IF('Customer Sector'!$F$40=TRUE,Q54,Q42)</f>
        <v>7.3208361145504997E-2</v>
      </c>
      <c r="R26" s="269">
        <f>IF('Customer Sector'!$F$40=TRUE,R54,R42)</f>
        <v>7.7966904619962821E-2</v>
      </c>
      <c r="S26" s="269">
        <f>IF('Customer Sector'!$F$40=TRUE,S54,S42)</f>
        <v>8.3034753420260399E-2</v>
      </c>
      <c r="T26" s="269">
        <f>IF('Customer Sector'!$F$40=TRUE,T54,T42)</f>
        <v>8.8432012392577322E-2</v>
      </c>
      <c r="U26" s="269">
        <f>IF('Customer Sector'!$F$40=TRUE,U54,U42)</f>
        <v>9.4180093198094839E-2</v>
      </c>
      <c r="V26" s="269">
        <f>IF('Customer Sector'!$F$40=TRUE,V54,V42)</f>
        <v>0.10030179925597099</v>
      </c>
      <c r="W26" s="269">
        <f>IF('Customer Sector'!$F$40=TRUE,W54,W42)</f>
        <v>0.1068214162076091</v>
      </c>
      <c r="X26" s="269">
        <f>IF('Customer Sector'!$F$40=TRUE,X54,X42)</f>
        <v>0.11376480826110369</v>
      </c>
      <c r="Y26" s="269">
        <f>IF('Customer Sector'!$F$40=TRUE,Y54,Y42)</f>
        <v>0.12115952079807542</v>
      </c>
      <c r="Z26" s="269">
        <f>IF('Customer Sector'!$F$40=TRUE,Z54,Z42)</f>
        <v>0.1290348896499503</v>
      </c>
      <c r="AA26" s="269">
        <f>IF('Customer Sector'!$F$40=TRUE,AA54,AA42)</f>
        <v>0.13742215747719708</v>
      </c>
      <c r="AB26" s="269">
        <f>IF('Customer Sector'!$F$40=TRUE,AB54,AB42)</f>
        <v>0.14635459771321488</v>
      </c>
      <c r="AC26" s="269">
        <f>IF('Customer Sector'!$F$40=TRUE,AC54,AC42)</f>
        <v>0.15586764656457383</v>
      </c>
      <c r="AD26" s="269">
        <f>IF('Customer Sector'!$F$40=TRUE,AD54,AD42)</f>
        <v>0.16599904359127113</v>
      </c>
      <c r="AE26" s="269">
        <f>IF('Customer Sector'!$F$40=TRUE,AE54,AE42)</f>
        <v>0.17678898142470376</v>
      </c>
      <c r="AF26" s="270">
        <f>IF('Customer Sector'!$F$40=TRUE,AF54,AF42)</f>
        <v>0.18828026521730948</v>
      </c>
      <c r="AH26" s="2"/>
      <c r="AI26" s="3"/>
      <c r="AJ26" s="3" t="s">
        <v>219</v>
      </c>
      <c r="AK26" s="3"/>
      <c r="AL26" s="12" t="s">
        <v>19</v>
      </c>
      <c r="AM26" s="210">
        <f>IF('Customer Sector'!$L$40=TRUE,AM54,AM42)</f>
        <v>3.9E-2</v>
      </c>
      <c r="AN26" s="210">
        <f>IF('Customer Sector'!$L$40=TRUE,AN54,AN42)</f>
        <v>4.1534999999999996E-2</v>
      </c>
      <c r="AO26" s="210">
        <f>IF('Customer Sector'!$L$40=TRUE,AO54,AO42)</f>
        <v>4.423477499999999E-2</v>
      </c>
      <c r="AP26" s="210">
        <f>IF('Customer Sector'!$L$40=TRUE,AP54,AP42)</f>
        <v>4.7110035374999984E-2</v>
      </c>
      <c r="AQ26" s="210">
        <f>IF('Customer Sector'!$L$40=TRUE,AQ54,AQ42)</f>
        <v>5.017218767437498E-2</v>
      </c>
      <c r="AR26" s="210">
        <f>IF('Customer Sector'!$L$40=TRUE,AR54,AR42)</f>
        <v>5.3433379873209348E-2</v>
      </c>
      <c r="AS26" s="210">
        <f>IF('Customer Sector'!$L$40=TRUE,AS54,AS42)</f>
        <v>5.6906549564967955E-2</v>
      </c>
      <c r="AT26" s="210">
        <f>IF('Customer Sector'!$L$40=TRUE,AT54,AT42)</f>
        <v>6.0605475286690871E-2</v>
      </c>
      <c r="AU26" s="210">
        <f>IF('Customer Sector'!$L$40=TRUE,AU54,AU42)</f>
        <v>6.4544831180325779E-2</v>
      </c>
      <c r="AV26" s="210">
        <f>IF('Customer Sector'!$L$40=TRUE,AV54,AV42)</f>
        <v>6.8740245207046954E-2</v>
      </c>
      <c r="AW26" s="210">
        <f>IF('Customer Sector'!$L$40=TRUE,AW54,AW42)</f>
        <v>7.3208361145504997E-2</v>
      </c>
      <c r="AX26" s="210">
        <f>IF('Customer Sector'!$L$40=TRUE,AX54,AX42)</f>
        <v>7.7966904619962821E-2</v>
      </c>
      <c r="AY26" s="210">
        <f>IF('Customer Sector'!$L$40=TRUE,AY54,AY42)</f>
        <v>8.3034753420260399E-2</v>
      </c>
      <c r="AZ26" s="210">
        <f>IF('Customer Sector'!$L$40=TRUE,AZ54,AZ42)</f>
        <v>8.8432012392577322E-2</v>
      </c>
      <c r="BA26" s="210">
        <f>IF('Customer Sector'!$L$40=TRUE,BA54,BA42)</f>
        <v>9.4180093198094839E-2</v>
      </c>
      <c r="BB26" s="210">
        <f>IF('Customer Sector'!$L$40=TRUE,BB54,BB42)</f>
        <v>0.10030179925597099</v>
      </c>
      <c r="BC26" s="210">
        <f>IF('Customer Sector'!$L$40=TRUE,BC54,BC42)</f>
        <v>0.1068214162076091</v>
      </c>
      <c r="BD26" s="210">
        <f>IF('Customer Sector'!$L$40=TRUE,BD54,BD42)</f>
        <v>0.11376480826110369</v>
      </c>
      <c r="BE26" s="210">
        <f>IF('Customer Sector'!$L$40=TRUE,BE54,BE42)</f>
        <v>0.12115952079807542</v>
      </c>
      <c r="BF26" s="210">
        <f>IF('Customer Sector'!$L$40=TRUE,BF54,BF42)</f>
        <v>0.1290348896499503</v>
      </c>
      <c r="BG26" s="210">
        <f>IF('Customer Sector'!$L$40=TRUE,BG54,BG42)</f>
        <v>0.13742215747719708</v>
      </c>
      <c r="BH26" s="210">
        <f>IF('Customer Sector'!$L$40=TRUE,BH54,BH42)</f>
        <v>0.14635459771321488</v>
      </c>
      <c r="BI26" s="210">
        <f>IF('Customer Sector'!$L$40=TRUE,BI54,BI42)</f>
        <v>0.15586764656457383</v>
      </c>
      <c r="BJ26" s="210">
        <f>IF('Customer Sector'!$L$40=TRUE,BJ54,BJ42)</f>
        <v>0.16599904359127113</v>
      </c>
      <c r="BK26" s="210">
        <f>IF('Customer Sector'!$L$40=TRUE,BK54,BK42)</f>
        <v>0.17678898142470376</v>
      </c>
      <c r="BL26" s="219">
        <f>IF('Customer Sector'!$L$40=TRUE,BL54,BL42)</f>
        <v>0.18828026521730948</v>
      </c>
      <c r="BN26" s="10"/>
      <c r="BO26" s="5"/>
      <c r="BP26" s="5" t="s">
        <v>478</v>
      </c>
      <c r="BQ26" s="12" t="s">
        <v>19</v>
      </c>
      <c r="BR26" s="499">
        <f t="shared" ref="BR26:CQ26" si="22">BR21/(BR18+BR19)</f>
        <v>0</v>
      </c>
      <c r="BS26" s="499">
        <f t="shared" si="22"/>
        <v>1.5222549759703666E-3</v>
      </c>
      <c r="BT26" s="499">
        <f t="shared" si="22"/>
        <v>3.0129063024781555E-3</v>
      </c>
      <c r="BU26" s="499">
        <f t="shared" si="22"/>
        <v>4.4730541309942647E-3</v>
      </c>
      <c r="BV26" s="499">
        <f t="shared" si="22"/>
        <v>5.9040973722319324E-3</v>
      </c>
      <c r="BW26" s="499">
        <f t="shared" si="22"/>
        <v>7.3077301673768781E-3</v>
      </c>
      <c r="BX26" s="499">
        <f t="shared" si="22"/>
        <v>8.6859371158554289E-3</v>
      </c>
      <c r="BY26" s="499">
        <f t="shared" si="22"/>
        <v>1.0040987767797126E-2</v>
      </c>
      <c r="BZ26" s="499">
        <f t="shared" si="22"/>
        <v>1.1375430922886939E-2</v>
      </c>
      <c r="CA26" s="499">
        <f t="shared" si="22"/>
        <v>1.2692089301251522E-2</v>
      </c>
      <c r="CB26" s="499">
        <f t="shared" si="22"/>
        <v>1.399405516858475E-2</v>
      </c>
      <c r="CC26" s="499">
        <f t="shared" si="22"/>
        <v>1.3590924526638695E-2</v>
      </c>
      <c r="CD26" s="499">
        <f t="shared" si="22"/>
        <v>1.3199401613550524E-2</v>
      </c>
      <c r="CE26" s="499">
        <f t="shared" si="22"/>
        <v>1.2819660188571565E-2</v>
      </c>
      <c r="CF26" s="499">
        <f t="shared" si="22"/>
        <v>1.2451809259116178E-2</v>
      </c>
      <c r="CG26" s="499">
        <f t="shared" si="22"/>
        <v>1.2095897178489927E-2</v>
      </c>
      <c r="CH26" s="499">
        <f t="shared" si="22"/>
        <v>1.1751916069696512E-2</v>
      </c>
      <c r="CI26" s="499">
        <f t="shared" si="22"/>
        <v>1.1419806470421691E-2</v>
      </c>
      <c r="CJ26" s="499">
        <f t="shared" si="22"/>
        <v>1.1099462102508071E-2</v>
      </c>
      <c r="CK26" s="499">
        <f t="shared" si="22"/>
        <v>1.0790734678853147E-2</v>
      </c>
      <c r="CL26" s="499">
        <f t="shared" si="22"/>
        <v>1.0493438671157087E-2</v>
      </c>
      <c r="CM26" s="499">
        <f t="shared" si="22"/>
        <v>1.0207355972847445E-2</v>
      </c>
      <c r="CN26" s="499">
        <f t="shared" si="22"/>
        <v>9.9322404024112659E-3</v>
      </c>
      <c r="CO26" s="499">
        <f t="shared" si="22"/>
        <v>9.6678220029409907E-3</v>
      </c>
      <c r="CP26" s="499">
        <f t="shared" si="22"/>
        <v>9.4138111036875839E-3</v>
      </c>
      <c r="CQ26" s="500">
        <f t="shared" si="22"/>
        <v>9.1699021186247166E-3</v>
      </c>
    </row>
    <row r="27" spans="2:95" x14ac:dyDescent="0.25">
      <c r="B27" s="2"/>
      <c r="C27" s="404"/>
      <c r="D27" s="404" t="s">
        <v>220</v>
      </c>
      <c r="E27" s="404"/>
      <c r="F27" s="52" t="s">
        <v>19</v>
      </c>
      <c r="G27" s="269">
        <f>IF('Customer Sector'!$F$59=TRUE,IF('Customer Sector'!$F$44=TRUE,G55,G43)*(1-'Customer Sector'!$F$60),IF('Customer Sector'!$F$44=TRUE,G55,G43))</f>
        <v>8.0999999999999989E-2</v>
      </c>
      <c r="H27" s="269">
        <f>IF('Customer Sector'!$F$59=TRUE,IF('Customer Sector'!$F$44=TRUE,H55,H43)*(1-'Customer Sector'!$F$60),IF('Customer Sector'!$F$44=TRUE,H55,H43))</f>
        <v>8.2943093434957593E-2</v>
      </c>
      <c r="I27" s="269">
        <f>IF('Customer Sector'!$F$59=TRUE,IF('Customer Sector'!$F$44=TRUE,I55,I43)*(1-'Customer Sector'!$F$60),IF('Customer Sector'!$F$44=TRUE,I55,I43))</f>
        <v>8.3492740836596024E-2</v>
      </c>
      <c r="J27" s="269">
        <f>IF('Customer Sector'!$F$59=TRUE,IF('Customer Sector'!$F$44=TRUE,J55,J43)*(1-'Customer Sector'!$F$60),IF('Customer Sector'!$F$44=TRUE,J55,J43))</f>
        <v>8.4106978362833776E-2</v>
      </c>
      <c r="K27" s="269">
        <f>IF('Customer Sector'!$F$59=TRUE,IF('Customer Sector'!$F$44=TRUE,K55,K43)*(1-'Customer Sector'!$F$60),IF('Customer Sector'!$F$44=TRUE,K55,K43))</f>
        <v>8.4788689438926215E-2</v>
      </c>
      <c r="L27" s="269">
        <f>IF('Customer Sector'!$F$59=TRUE,IF('Customer Sector'!$F$44=TRUE,L55,L43)*(1-'Customer Sector'!$F$60),IF('Customer Sector'!$F$44=TRUE,L55,L43))</f>
        <v>8.5540908415353695E-2</v>
      </c>
      <c r="M27" s="269">
        <f>IF('Customer Sector'!$F$59=TRUE,IF('Customer Sector'!$F$44=TRUE,M55,M43)*(1-'Customer Sector'!$F$60),IF('Customer Sector'!$F$44=TRUE,M55,M43))</f>
        <v>8.6366828279327387E-2</v>
      </c>
      <c r="N27" s="269">
        <f>IF('Customer Sector'!$F$59=TRUE,IF('Customer Sector'!$F$44=TRUE,N55,N43)*(1-'Customer Sector'!$F$60),IF('Customer Sector'!$F$44=TRUE,N55,N43))</f>
        <v>8.7269808761879217E-2</v>
      </c>
      <c r="O27" s="269">
        <f>IF('Customer Sector'!$F$59=TRUE,IF('Customer Sector'!$F$44=TRUE,O55,O43)*(1-'Customer Sector'!$F$60),IF('Customer Sector'!$F$44=TRUE,O55,O43))</f>
        <v>8.825338486046258E-2</v>
      </c>
      <c r="P27" s="269">
        <f>IF('Customer Sector'!$F$59=TRUE,IF('Customer Sector'!$F$44=TRUE,P55,P43)*(1-'Customer Sector'!$F$60),IF('Customer Sector'!$F$44=TRUE,P55,P43))</f>
        <v>8.9321275797972846E-2</v>
      </c>
      <c r="Q27" s="269">
        <f>IF('Customer Sector'!$F$59=TRUE,IF('Customer Sector'!$F$44=TRUE,Q55,Q43)*(1-'Customer Sector'!$F$60),IF('Customer Sector'!$F$44=TRUE,Q55,Q43))</f>
        <v>9.0477394440131725E-2</v>
      </c>
      <c r="R27" s="269">
        <f>IF('Customer Sector'!$F$59=TRUE,IF('Customer Sector'!$F$44=TRUE,R55,R43)*(1-'Customer Sector'!$F$60),IF('Customer Sector'!$F$44=TRUE,R55,R43))</f>
        <v>9.172585719427033E-2</v>
      </c>
      <c r="S27" s="269">
        <f>IF('Customer Sector'!$F$59=TRUE,IF('Customer Sector'!$F$44=TRUE,S55,S43)*(1-'Customer Sector'!$F$60),IF('Customer Sector'!$F$44=TRUE,S55,S43))</f>
        <v>9.3070994413695388E-2</v>
      </c>
      <c r="T27" s="269">
        <f>IF('Customer Sector'!$F$59=TRUE,IF('Customer Sector'!$F$44=TRUE,T55,T43)*(1-'Customer Sector'!$F$60),IF('Customer Sector'!$F$44=TRUE,T55,T43))</f>
        <v>9.4517361333035635E-2</v>
      </c>
      <c r="U27" s="269">
        <f>IF('Customer Sector'!$F$59=TRUE,IF('Customer Sector'!$F$44=TRUE,U55,U43)*(1-'Customer Sector'!$F$60),IF('Customer Sector'!$F$44=TRUE,U55,U43))</f>
        <v>9.6069749561245685E-2</v>
      </c>
      <c r="V27" s="269">
        <f>IF('Customer Sector'!$F$59=TRUE,IF('Customer Sector'!$F$44=TRUE,V55,V43)*(1-'Customer Sector'!$F$60),IF('Customer Sector'!$F$44=TRUE,V55,V43))</f>
        <v>9.7733199160293605E-2</v>
      </c>
      <c r="W27" s="269">
        <f>IF('Customer Sector'!$F$59=TRUE,IF('Customer Sector'!$F$44=TRUE,W55,W43)*(1-'Customer Sector'!$F$60),IF('Customer Sector'!$F$44=TRUE,W55,W43))</f>
        <v>9.9513011338984048E-2</v>
      </c>
      <c r="X27" s="269">
        <f>IF('Customer Sector'!$F$59=TRUE,IF('Customer Sector'!$F$44=TRUE,X55,X43)*(1-'Customer Sector'!$F$60),IF('Customer Sector'!$F$44=TRUE,X55,X43))</f>
        <v>0.10141476179287225</v>
      </c>
      <c r="Y27" s="269">
        <f>IF('Customer Sector'!$F$59=TRUE,IF('Customer Sector'!$F$44=TRUE,Y55,Y43)*(1-'Customer Sector'!$F$60),IF('Customer Sector'!$F$44=TRUE,Y55,Y43))</f>
        <v>0.10344431472281081</v>
      </c>
      <c r="Z27" s="269">
        <f>IF('Customer Sector'!$F$59=TRUE,IF('Customer Sector'!$F$44=TRUE,Z55,Z43)*(1-'Customer Sector'!$F$60),IF('Customer Sector'!$F$44=TRUE,Z55,Z43))</f>
        <v>0.10560783756634463</v>
      </c>
      <c r="AA27" s="269">
        <f>IF('Customer Sector'!$F$59=TRUE,IF('Customer Sector'!$F$44=TRUE,AA55,AA43)*(1-'Customer Sector'!$F$60),IF('Customer Sector'!$F$44=TRUE,AA55,AA43))</f>
        <v>0.10791181647793481</v>
      </c>
      <c r="AB27" s="269">
        <f>IF('Customer Sector'!$F$59=TRUE,IF('Customer Sector'!$F$44=TRUE,AB55,AB43)*(1-'Customer Sector'!$F$60),IF('Customer Sector'!$F$44=TRUE,AB55,AB43))</f>
        <v>0.11036307259585292</v>
      </c>
      <c r="AC27" s="269">
        <f>IF('Customer Sector'!$F$59=TRUE,IF('Customer Sector'!$F$44=TRUE,AC55,AC43)*(1-'Customer Sector'!$F$60),IF('Customer Sector'!$F$44=TRUE,AC55,AC43))</f>
        <v>0.11296877913554913</v>
      </c>
      <c r="AD27" s="269">
        <f>IF('Customer Sector'!$F$59=TRUE,IF('Customer Sector'!$F$44=TRUE,AD55,AD43)*(1-'Customer Sector'!$F$60),IF('Customer Sector'!$F$44=TRUE,AD55,AD43))</f>
        <v>0.11573647935136105</v>
      </c>
      <c r="AE27" s="269">
        <f>IF('Customer Sector'!$F$59=TRUE,IF('Customer Sector'!$F$44=TRUE,AE55,AE43)*(1-'Customer Sector'!$F$60),IF('Customer Sector'!$F$44=TRUE,AE55,AE43))</f>
        <v>0.11867410541060944</v>
      </c>
      <c r="AF27" s="269">
        <f>IF('Customer Sector'!$F$59=TRUE,IF('Customer Sector'!$F$44=TRUE,AF55,AF43)*(1-'Customer Sector'!$F$60),IF('Customer Sector'!$F$44=TRUE,AF55,AF43))</f>
        <v>0.12178999822641018</v>
      </c>
      <c r="AH27" s="2"/>
      <c r="AI27" s="3"/>
      <c r="AJ27" s="3" t="s">
        <v>220</v>
      </c>
      <c r="AK27" s="3"/>
      <c r="AL27" s="12" t="s">
        <v>19</v>
      </c>
      <c r="AM27" s="210">
        <f>IF('Customer Sector'!$L$59=TRUE,IF('Customer Sector'!$L$44=TRUE,AM55,AM43)*(1-'Customer Sector'!$L$60),IF('Customer Sector'!$L$44=TRUE,AM55,AM43))</f>
        <v>2.2831050228310504E-2</v>
      </c>
      <c r="AN27" s="210">
        <f>IF('Customer Sector'!$L$59=TRUE,IF('Customer Sector'!$L$44=TRUE,AN55,AN43)*(1-'Customer Sector'!$L$60),IF('Customer Sector'!$L$44=TRUE,AN55,AN43))</f>
        <v>2.3433534425547551E-2</v>
      </c>
      <c r="AO27" s="210">
        <f>IF('Customer Sector'!$L$59=TRUE,IF('Customer Sector'!$L$44=TRUE,AO55,AO43)*(1-'Customer Sector'!$L$60),IF('Customer Sector'!$L$44=TRUE,AO55,AO43))</f>
        <v>2.3645064285195864E-2</v>
      </c>
      <c r="AP27" s="210">
        <f>IF('Customer Sector'!$L$59=TRUE,IF('Customer Sector'!$L$44=TRUE,AP55,AP43)*(1-'Customer Sector'!$L$60),IF('Customer Sector'!$L$44=TRUE,AP55,AP43))</f>
        <v>2.3875763918959198E-2</v>
      </c>
      <c r="AQ27" s="210">
        <f>IF('Customer Sector'!$L$59=TRUE,IF('Customer Sector'!$L$44=TRUE,AQ55,AQ43)*(1-'Customer Sector'!$L$60),IF('Customer Sector'!$L$44=TRUE,AQ55,AQ43))</f>
        <v>2.4126585636571062E-2</v>
      </c>
      <c r="AR27" s="210">
        <f>IF('Customer Sector'!$L$59=TRUE,IF('Customer Sector'!$L$44=TRUE,AR55,AR43)*(1-'Customer Sector'!$L$60),IF('Customer Sector'!$L$44=TRUE,AR55,AR43))</f>
        <v>2.439853303296367E-2</v>
      </c>
      <c r="AS27" s="210">
        <f>IF('Customer Sector'!$L$59=TRUE,IF('Customer Sector'!$L$44=TRUE,AS55,AS43)*(1-'Customer Sector'!$L$60),IF('Customer Sector'!$L$44=TRUE,AS55,AS43))</f>
        <v>2.4692663735816564E-2</v>
      </c>
      <c r="AT27" s="210">
        <f>IF('Customer Sector'!$L$59=TRUE,IF('Customer Sector'!$L$44=TRUE,AT55,AT43)*(1-'Customer Sector'!$L$60),IF('Customer Sector'!$L$44=TRUE,AT55,AT43))</f>
        <v>2.5010092300446776E-2</v>
      </c>
      <c r="AU27" s="210">
        <f>IF('Customer Sector'!$L$59=TRUE,IF('Customer Sector'!$L$44=TRUE,AU55,AU43)*(1-'Customer Sector'!$L$60),IF('Customer Sector'!$L$44=TRUE,AU55,AU43))</f>
        <v>2.5351993259857857E-2</v>
      </c>
      <c r="AV27" s="210">
        <f>IF('Customer Sector'!$L$59=TRUE,IF('Customer Sector'!$L$44=TRUE,AV55,AV43)*(1-'Customer Sector'!$L$60),IF('Customer Sector'!$L$44=TRUE,AV55,AV43))</f>
        <v>2.5719604338173548E-2</v>
      </c>
      <c r="AW27" s="210">
        <f>IF('Customer Sector'!$L$59=TRUE,IF('Customer Sector'!$L$44=TRUE,AW55,AW43)*(1-'Customer Sector'!$L$60),IF('Customer Sector'!$L$44=TRUE,AW55,AW43))</f>
        <v>2.6114229836112574E-2</v>
      </c>
      <c r="AX27" s="210">
        <f>IF('Customer Sector'!$L$59=TRUE,IF('Customer Sector'!$L$44=TRUE,AX55,AX43)*(1-'Customer Sector'!$L$60),IF('Customer Sector'!$L$44=TRUE,AX55,AX43))</f>
        <v>2.6537244197615259E-2</v>
      </c>
      <c r="AY27" s="210">
        <f>IF('Customer Sector'!$L$59=TRUE,IF('Customer Sector'!$L$44=TRUE,AY55,AY43)*(1-'Customer Sector'!$L$60),IF('Customer Sector'!$L$44=TRUE,AY55,AY43))</f>
        <v>2.6990095767211911E-2</v>
      </c>
      <c r="AZ27" s="210">
        <f>IF('Customer Sector'!$L$59=TRUE,IF('Customer Sector'!$L$44=TRUE,AZ55,AZ43)*(1-'Customer Sector'!$L$60),IF('Customer Sector'!$L$44=TRUE,AZ55,AZ43))</f>
        <v>2.7474310748228484E-2</v>
      </c>
      <c r="BA27" s="210">
        <f>IF('Customer Sector'!$L$59=TRUE,IF('Customer Sector'!$L$44=TRUE,BA55,BA43)*(1-'Customer Sector'!$L$60),IF('Customer Sector'!$L$44=TRUE,BA55,BA43))</f>
        <v>2.7991497372459057E-2</v>
      </c>
      <c r="BB27" s="210">
        <f>IF('Customer Sector'!$L$59=TRUE,IF('Customer Sector'!$L$44=TRUE,BB55,BB43)*(1-'Customer Sector'!$L$60),IF('Customer Sector'!$L$44=TRUE,BB55,BB43))</f>
        <v>2.854335029249783E-2</v>
      </c>
      <c r="BC27" s="210">
        <f>IF('Customer Sector'!$L$59=TRUE,IF('Customer Sector'!$L$44=TRUE,BC55,BC43)*(1-'Customer Sector'!$L$60),IF('Customer Sector'!$L$44=TRUE,BC55,BC43))</f>
        <v>2.91316552085185E-2</v>
      </c>
      <c r="BD27" s="210">
        <f>IF('Customer Sector'!$L$59=TRUE,IF('Customer Sector'!$L$44=TRUE,BD55,BD43)*(1-'Customer Sector'!$L$60),IF('Customer Sector'!$L$44=TRUE,BD55,BD43))</f>
        <v>2.9758293741916977E-2</v>
      </c>
      <c r="BE27" s="210">
        <f>IF('Customer Sector'!$L$59=TRUE,IF('Customer Sector'!$L$44=TRUE,BE55,BE43)*(1-'Customer Sector'!$L$60),IF('Customer Sector'!$L$44=TRUE,BE55,BE43))</f>
        <v>3.042524856889672E-2</v>
      </c>
      <c r="BF27" s="210">
        <f>IF('Customer Sector'!$L$59=TRUE,IF('Customer Sector'!$L$44=TRUE,BF55,BF43)*(1-'Customer Sector'!$L$60),IF('Customer Sector'!$L$44=TRUE,BF55,BF43))</f>
        <v>3.1134608827775939E-2</v>
      </c>
      <c r="BG27" s="210">
        <f>IF('Customer Sector'!$L$59=TRUE,IF('Customer Sector'!$L$44=TRUE,BG55,BG43)*(1-'Customer Sector'!$L$60),IF('Customer Sector'!$L$44=TRUE,BG55,BG43))</f>
        <v>3.1888575814535275E-2</v>
      </c>
      <c r="BH27" s="210">
        <f>IF('Customer Sector'!$L$59=TRUE,IF('Customer Sector'!$L$44=TRUE,BH55,BH43)*(1-'Customer Sector'!$L$60),IF('Customer Sector'!$L$44=TRUE,BH55,BH43))</f>
        <v>3.2689468981904432E-2</v>
      </c>
      <c r="BI27" s="210">
        <f>IF('Customer Sector'!$L$59=TRUE,IF('Customer Sector'!$L$44=TRUE,BI55,BI43)*(1-'Customer Sector'!$L$60),IF('Customer Sector'!$L$44=TRUE,BI55,BI43))</f>
        <v>3.3539732258109724E-2</v>
      </c>
      <c r="BJ27" s="210">
        <f>IF('Customer Sector'!$L$59=TRUE,IF('Customer Sector'!$L$44=TRUE,BJ55,BJ43)*(1-'Customer Sector'!$L$60),IF('Customer Sector'!$L$44=TRUE,BJ55,BJ43))</f>
        <v>3.4441940702272043E-2</v>
      </c>
      <c r="BK27" s="210">
        <f>IF('Customer Sector'!$L$59=TRUE,IF('Customer Sector'!$L$44=TRUE,BK55,BK43)*(1-'Customer Sector'!$L$60),IF('Customer Sector'!$L$44=TRUE,BK55,BK43))</f>
        <v>3.5398807514362106E-2</v>
      </c>
      <c r="BL27" s="210">
        <f>IF('Customer Sector'!$L$59=TRUE,IF('Customer Sector'!$L$44=TRUE,BL55,BL43)*(1-'Customer Sector'!$L$60),IF('Customer Sector'!$L$44=TRUE,BL55,BL43))</f>
        <v>3.6413191418583547E-2</v>
      </c>
      <c r="BN27" s="10"/>
      <c r="BO27" s="5"/>
      <c r="BP27" s="5" t="s">
        <v>479</v>
      </c>
      <c r="BQ27" s="12" t="s">
        <v>19</v>
      </c>
      <c r="BR27" s="499">
        <f t="shared" ref="BR27:CQ27" si="23">BR22/(BR18+BR19)</f>
        <v>0</v>
      </c>
      <c r="BS27" s="499">
        <f t="shared" si="23"/>
        <v>-2.6172909809040624E-3</v>
      </c>
      <c r="BT27" s="499">
        <f t="shared" si="23"/>
        <v>-2.8210393033664713E-3</v>
      </c>
      <c r="BU27" s="499">
        <f t="shared" si="23"/>
        <v>-3.0387564362462662E-3</v>
      </c>
      <c r="BV27" s="499">
        <f t="shared" si="23"/>
        <v>-3.2713727667622785E-3</v>
      </c>
      <c r="BW27" s="499">
        <f t="shared" si="23"/>
        <v>-3.5199008888913124E-3</v>
      </c>
      <c r="BX27" s="499">
        <f t="shared" si="23"/>
        <v>-3.785445980964185E-3</v>
      </c>
      <c r="BY27" s="499">
        <f t="shared" si="23"/>
        <v>-4.069217594335435E-3</v>
      </c>
      <c r="BZ27" s="499">
        <f t="shared" si="23"/>
        <v>-4.3725430749677789E-3</v>
      </c>
      <c r="CA27" s="499">
        <f t="shared" si="23"/>
        <v>-4.69688288661004E-3</v>
      </c>
      <c r="CB27" s="499">
        <f t="shared" si="23"/>
        <v>-5.043848161923571E-3</v>
      </c>
      <c r="CC27" s="499">
        <f t="shared" si="23"/>
        <v>-1.2521665786339297E-3</v>
      </c>
      <c r="CD27" s="499">
        <f t="shared" si="23"/>
        <v>-1.2744045660792072E-3</v>
      </c>
      <c r="CE27" s="499">
        <f t="shared" si="23"/>
        <v>-1.295973063107381E-3</v>
      </c>
      <c r="CF27" s="499">
        <f t="shared" si="23"/>
        <v>-1.3168659021677448E-3</v>
      </c>
      <c r="CG27" s="499">
        <f t="shared" si="23"/>
        <v>-1.3370803598489055E-3</v>
      </c>
      <c r="CH27" s="499">
        <f t="shared" si="23"/>
        <v>-1.3566169055381099E-3</v>
      </c>
      <c r="CI27" s="499">
        <f t="shared" si="23"/>
        <v>-1.3754789375354662E-3</v>
      </c>
      <c r="CJ27" s="499">
        <f t="shared" si="23"/>
        <v>-1.3936725121162347E-3</v>
      </c>
      <c r="CK27" s="499">
        <f t="shared" si="23"/>
        <v>-1.4112060704870801E-3</v>
      </c>
      <c r="CL27" s="499">
        <f t="shared" si="23"/>
        <v>-1.4280901679789425E-3</v>
      </c>
      <c r="CM27" s="499">
        <f t="shared" si="23"/>
        <v>-1.444337209208527E-3</v>
      </c>
      <c r="CN27" s="499">
        <f t="shared" si="23"/>
        <v>-1.459961192315773E-3</v>
      </c>
      <c r="CO27" s="499">
        <f t="shared" si="23"/>
        <v>-1.4749774647869003E-3</v>
      </c>
      <c r="CP27" s="499">
        <f t="shared" si="23"/>
        <v>-1.4894024927993963E-3</v>
      </c>
      <c r="CQ27" s="500">
        <f t="shared" si="23"/>
        <v>-1.5032536455158389E-3</v>
      </c>
    </row>
    <row r="28" spans="2:95" x14ac:dyDescent="0.25">
      <c r="B28" s="2"/>
      <c r="C28" s="404" t="s">
        <v>202</v>
      </c>
      <c r="D28" s="404"/>
      <c r="E28" s="404"/>
      <c r="F28" s="52" t="s">
        <v>7</v>
      </c>
      <c r="G28" s="55">
        <f t="shared" ref="G28:AF28" si="24">(G16-G24)/G24</f>
        <v>0</v>
      </c>
      <c r="H28" s="55">
        <f t="shared" ca="1" si="24"/>
        <v>5.550555552039392E-3</v>
      </c>
      <c r="I28" s="55">
        <f t="shared" ca="1" si="24"/>
        <v>6.7536898465704711E-3</v>
      </c>
      <c r="J28" s="55">
        <f t="shared" ca="1" si="24"/>
        <v>7.8814886526759401E-3</v>
      </c>
      <c r="K28" s="55">
        <f t="shared" ca="1" si="24"/>
        <v>8.9331776355787186E-3</v>
      </c>
      <c r="L28" s="55">
        <f t="shared" ca="1" si="24"/>
        <v>9.9081756461389722E-3</v>
      </c>
      <c r="M28" s="55">
        <f t="shared" ca="1" si="24"/>
        <v>1.0806077849844336E-2</v>
      </c>
      <c r="N28" s="55">
        <f t="shared" ca="1" si="24"/>
        <v>1.1626634072986718E-2</v>
      </c>
      <c r="O28" s="55">
        <f t="shared" ca="1" si="24"/>
        <v>1.2369722445604836E-2</v>
      </c>
      <c r="P28" s="55">
        <f t="shared" ca="1" si="24"/>
        <v>1.3035318447448095E-2</v>
      </c>
      <c r="Q28" s="55">
        <f t="shared" ca="1" si="24"/>
        <v>1.3623459464733131E-2</v>
      </c>
      <c r="R28" s="55">
        <f t="shared" ca="1" si="24"/>
        <v>1.1064998573403484E-2</v>
      </c>
      <c r="S28" s="55">
        <f t="shared" ca="1" si="24"/>
        <v>1.077330920860658E-2</v>
      </c>
      <c r="T28" s="55">
        <f t="shared" ca="1" si="24"/>
        <v>1.0486030808337541E-2</v>
      </c>
      <c r="U28" s="55">
        <f t="shared" ca="1" si="24"/>
        <v>1.0203563963215567E-2</v>
      </c>
      <c r="V28" s="55">
        <f t="shared" ca="1" si="24"/>
        <v>9.9262675117920383E-3</v>
      </c>
      <c r="W28" s="55">
        <f t="shared" ca="1" si="24"/>
        <v>9.6544578966123416E-3</v>
      </c>
      <c r="X28" s="55">
        <f t="shared" ca="1" si="24"/>
        <v>9.3884090948309403E-3</v>
      </c>
      <c r="Y28" s="55">
        <f t="shared" ca="1" si="24"/>
        <v>9.1283530782412456E-3</v>
      </c>
      <c r="Z28" s="55">
        <f t="shared" ca="1" si="24"/>
        <v>8.8744807497738512E-3</v>
      </c>
      <c r="AA28" s="55">
        <f t="shared" ca="1" si="24"/>
        <v>8.6269432980576703E-3</v>
      </c>
      <c r="AB28" s="55">
        <f t="shared" ca="1" si="24"/>
        <v>8.385853908473441E-3</v>
      </c>
      <c r="AC28" s="55">
        <f t="shared" ca="1" si="24"/>
        <v>8.1512897680317102E-3</v>
      </c>
      <c r="AD28" s="55">
        <f t="shared" ca="1" si="24"/>
        <v>7.923294302191651E-3</v>
      </c>
      <c r="AE28" s="55">
        <f t="shared" ca="1" si="24"/>
        <v>7.7018795840719401E-3</v>
      </c>
      <c r="AF28" s="56">
        <f t="shared" ca="1" si="24"/>
        <v>7.4870288601126831E-3</v>
      </c>
      <c r="AH28" s="2"/>
      <c r="AI28" s="3" t="s">
        <v>202</v>
      </c>
      <c r="AJ28" s="3"/>
      <c r="AK28" s="3"/>
      <c r="AL28" s="12" t="s">
        <v>7</v>
      </c>
      <c r="AM28" s="107">
        <f t="shared" ref="AM28:BL28" si="25">(AM16-AM24)/AM24</f>
        <v>0</v>
      </c>
      <c r="AN28" s="107">
        <f t="shared" ca="1" si="25"/>
        <v>5.1959182367409332E-3</v>
      </c>
      <c r="AO28" s="107">
        <f t="shared" ca="1" si="25"/>
        <v>6.3704933094064246E-3</v>
      </c>
      <c r="AP28" s="107">
        <f t="shared" ca="1" si="25"/>
        <v>7.5215249726558993E-3</v>
      </c>
      <c r="AQ28" s="107">
        <f t="shared" ca="1" si="25"/>
        <v>8.6504218117142567E-3</v>
      </c>
      <c r="AR28" s="107">
        <f t="shared" ca="1" si="25"/>
        <v>9.7588740760424734E-3</v>
      </c>
      <c r="AS28" s="107">
        <f t="shared" ca="1" si="25"/>
        <v>1.0848847733307607E-2</v>
      </c>
      <c r="AT28" s="107">
        <f t="shared" ca="1" si="25"/>
        <v>1.1922579547130076E-2</v>
      </c>
      <c r="AU28" s="107">
        <f t="shared" ca="1" si="25"/>
        <v>1.2982573793613918E-2</v>
      </c>
      <c r="AV28" s="107">
        <f t="shared" ca="1" si="25"/>
        <v>1.4031601249795486E-2</v>
      </c>
      <c r="AW28" s="107">
        <f t="shared" ca="1" si="25"/>
        <v>1.507270111389674E-2</v>
      </c>
      <c r="AX28" s="107">
        <f t="shared" ca="1" si="25"/>
        <v>1.3358824347719404E-2</v>
      </c>
      <c r="AY28" s="107">
        <f t="shared" ca="1" si="25"/>
        <v>1.2836289823676673E-2</v>
      </c>
      <c r="AZ28" s="107">
        <f t="shared" ca="1" si="25"/>
        <v>1.2335296144377617E-2</v>
      </c>
      <c r="BA28" s="107">
        <f t="shared" ca="1" si="25"/>
        <v>1.1855352755332038E-2</v>
      </c>
      <c r="BB28" s="107">
        <f t="shared" ca="1" si="25"/>
        <v>1.1395922737116183E-2</v>
      </c>
      <c r="BC28" s="107">
        <f t="shared" ca="1" si="25"/>
        <v>1.0956430826737067E-2</v>
      </c>
      <c r="BD28" s="107">
        <f t="shared" ca="1" si="25"/>
        <v>1.0536270925238664E-2</v>
      </c>
      <c r="BE28" s="107">
        <f t="shared" ca="1" si="25"/>
        <v>1.0134813055429888E-2</v>
      </c>
      <c r="BF28" s="107">
        <f t="shared" ca="1" si="25"/>
        <v>9.7514097487050727E-3</v>
      </c>
      <c r="BG28" s="107">
        <f t="shared" ca="1" si="25"/>
        <v>9.3854018530154966E-3</v>
      </c>
      <c r="BH28" s="107">
        <f t="shared" ca="1" si="25"/>
        <v>9.0361237651198825E-3</v>
      </c>
      <c r="BI28" s="107">
        <f t="shared" ca="1" si="25"/>
        <v>8.7029080993972323E-3</v>
      </c>
      <c r="BJ28" s="107">
        <f t="shared" ca="1" si="25"/>
        <v>8.3850898128375664E-3</v>
      </c>
      <c r="BK28" s="107">
        <f t="shared" ca="1" si="25"/>
        <v>8.0820098115069513E-3</v>
      </c>
      <c r="BL28" s="114">
        <f t="shared" ca="1" si="25"/>
        <v>7.7930180679555159E-3</v>
      </c>
      <c r="BP28" s="5" t="s">
        <v>400</v>
      </c>
      <c r="BQ28" s="12" t="s">
        <v>19</v>
      </c>
      <c r="BR28" s="499">
        <f>BR23/(BR18+BR19)</f>
        <v>0</v>
      </c>
      <c r="BS28" s="499">
        <f t="shared" ref="BS28:CQ28" si="26">BS23/(BS18+BS19)</f>
        <v>1.8249518341231889E-3</v>
      </c>
      <c r="BT28" s="499">
        <f t="shared" ca="1" si="26"/>
        <v>1.7948498021682364E-3</v>
      </c>
      <c r="BU28" s="499">
        <f t="shared" ca="1" si="26"/>
        <v>1.7645792485223009E-3</v>
      </c>
      <c r="BV28" s="499">
        <f t="shared" ca="1" si="26"/>
        <v>1.7342245952498005E-3</v>
      </c>
      <c r="BW28" s="499">
        <f t="shared" ca="1" si="26"/>
        <v>1.7038688784045881E-3</v>
      </c>
      <c r="BX28" s="499">
        <f t="shared" ca="1" si="26"/>
        <v>1.6735932089391703E-3</v>
      </c>
      <c r="BY28" s="499">
        <f t="shared" ca="1" si="26"/>
        <v>1.6434763047203907E-3</v>
      </c>
      <c r="BZ28" s="499">
        <f t="shared" ca="1" si="26"/>
        <v>1.6135940991379532E-3</v>
      </c>
      <c r="CA28" s="499">
        <f t="shared" ca="1" si="26"/>
        <v>1.5840194298198189E-3</v>
      </c>
      <c r="CB28" s="499">
        <f t="shared" ca="1" si="26"/>
        <v>1.5548218091393767E-3</v>
      </c>
      <c r="CC28" s="499">
        <f t="shared" si="26"/>
        <v>0</v>
      </c>
      <c r="CD28" s="499">
        <f t="shared" si="26"/>
        <v>0</v>
      </c>
      <c r="CE28" s="499">
        <f t="shared" si="26"/>
        <v>0</v>
      </c>
      <c r="CF28" s="499">
        <f t="shared" si="26"/>
        <v>0</v>
      </c>
      <c r="CG28" s="499">
        <f t="shared" si="26"/>
        <v>0</v>
      </c>
      <c r="CH28" s="499">
        <f t="shared" si="26"/>
        <v>0</v>
      </c>
      <c r="CI28" s="499">
        <f t="shared" si="26"/>
        <v>0</v>
      </c>
      <c r="CJ28" s="499">
        <f t="shared" si="26"/>
        <v>0</v>
      </c>
      <c r="CK28" s="499">
        <f t="shared" si="26"/>
        <v>0</v>
      </c>
      <c r="CL28" s="499">
        <f t="shared" si="26"/>
        <v>0</v>
      </c>
      <c r="CM28" s="499">
        <f t="shared" si="26"/>
        <v>0</v>
      </c>
      <c r="CN28" s="499">
        <f t="shared" si="26"/>
        <v>0</v>
      </c>
      <c r="CO28" s="499">
        <f t="shared" si="26"/>
        <v>0</v>
      </c>
      <c r="CP28" s="499">
        <f t="shared" si="26"/>
        <v>0</v>
      </c>
      <c r="CQ28" s="499">
        <f t="shared" si="26"/>
        <v>0</v>
      </c>
    </row>
    <row r="29" spans="2:95" x14ac:dyDescent="0.25">
      <c r="B29" s="406"/>
      <c r="C29" s="407"/>
      <c r="D29" s="407"/>
      <c r="E29" s="407"/>
      <c r="F29" s="408"/>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10"/>
      <c r="AH29" s="2"/>
      <c r="AI29" s="404" t="s">
        <v>357</v>
      </c>
      <c r="AJ29" s="404"/>
      <c r="AK29" s="404"/>
      <c r="AL29" s="52" t="s">
        <v>247</v>
      </c>
      <c r="AM29" s="424">
        <f>'Customer Sector'!L46</f>
        <v>10</v>
      </c>
      <c r="AN29" s="273">
        <f>AM29*(1+(('Utility Calc'!H53-'Utility Calc'!G53)/'Utility Calc'!G53)-'Customer Sector'!$L$14)</f>
        <v>10.263888078389826</v>
      </c>
      <c r="AO29" s="273">
        <f>AN29*(1+(('Utility Calc'!I53-'Utility Calc'!H53)/'Utility Calc'!H53)-'Customer Sector'!$L$14)</f>
        <v>10.356538156915787</v>
      </c>
      <c r="AP29" s="273">
        <f>AO29*(1+(('Utility Calc'!J53-'Utility Calc'!I53)/'Utility Calc'!I53)-'Customer Sector'!$L$14)</f>
        <v>10.457584596504127</v>
      </c>
      <c r="AQ29" s="273">
        <f>AP29*(1+(('Utility Calc'!K53-'Utility Calc'!J53)/'Utility Calc'!J53)-'Customer Sector'!$L$14)</f>
        <v>10.567444508818122</v>
      </c>
      <c r="AR29" s="273">
        <f>AQ29*(1+(('Utility Calc'!L53-'Utility Calc'!K53)/'Utility Calc'!K53)-'Customer Sector'!$L$14)</f>
        <v>10.686557468438084</v>
      </c>
      <c r="AS29" s="273">
        <f>AR29*(1+(('Utility Calc'!M53-'Utility Calc'!L53)/'Utility Calc'!L53)-'Customer Sector'!$L$14)</f>
        <v>10.81538671628765</v>
      </c>
      <c r="AT29" s="273">
        <f>AS29*(1+(('Utility Calc'!N53-'Utility Calc'!M53)/'Utility Calc'!M53)-'Customer Sector'!$L$14)</f>
        <v>10.954420427595682</v>
      </c>
      <c r="AU29" s="273">
        <f>AT29*(1+(('Utility Calc'!O53-'Utility Calc'!N53)/'Utility Calc'!N53)-'Customer Sector'!$L$14)</f>
        <v>11.104173047817735</v>
      </c>
      <c r="AV29" s="273">
        <f>AU29*(1+(('Utility Calc'!P53-'Utility Calc'!O53)/'Utility Calc'!O53)-'Customer Sector'!$L$14)</f>
        <v>11.265186700120008</v>
      </c>
      <c r="AW29" s="273">
        <f>AV29*(1+(('Utility Calc'!Q53-'Utility Calc'!P53)/'Utility Calc'!P53)-'Customer Sector'!$L$14)</f>
        <v>11.438032668217302</v>
      </c>
      <c r="AX29" s="273">
        <f>AW29*(1+(('Utility Calc'!R53-'Utility Calc'!Q53)/'Utility Calc'!Q53)-'Customer Sector'!$L$14)</f>
        <v>11.623312958555477</v>
      </c>
      <c r="AY29" s="273">
        <f>AX29*(1+(('Utility Calc'!S53-'Utility Calc'!R53)/'Utility Calc'!R53)-'Customer Sector'!$L$14)</f>
        <v>11.821661946038811</v>
      </c>
      <c r="AZ29" s="273">
        <f>AY29*(1+(('Utility Calc'!T53-'Utility Calc'!S53)/'Utility Calc'!S53)-'Customer Sector'!$L$14)</f>
        <v>12.033748107724069</v>
      </c>
      <c r="BA29" s="273">
        <f>AZ29*(1+(('Utility Calc'!U53-'Utility Calc'!T53)/'Utility Calc'!T53)-'Customer Sector'!$L$14)</f>
        <v>12.260275849137059</v>
      </c>
      <c r="BB29" s="273">
        <f>BA29*(1+(('Utility Calc'!V53-'Utility Calc'!U53)/'Utility Calc'!U53)-'Customer Sector'!$L$14)</f>
        <v>12.501987428114042</v>
      </c>
      <c r="BC29" s="273">
        <f>BB29*(1+(('Utility Calc'!W53-'Utility Calc'!V53)/'Utility Calc'!V53)-'Customer Sector'!$L$14)</f>
        <v>12.759664981331095</v>
      </c>
      <c r="BD29" s="273">
        <f>BC29*(1+(('Utility Calc'!X53-'Utility Calc'!W53)/'Utility Calc'!W53)-'Customer Sector'!$L$14)</f>
        <v>13.03413265895963</v>
      </c>
      <c r="BE29" s="273">
        <f>BD29*(1+(('Utility Calc'!Y53-'Utility Calc'!X53)/'Utility Calc'!X53)-'Customer Sector'!$L$14)</f>
        <v>13.326258873176757</v>
      </c>
      <c r="BF29" s="273">
        <f>BE29*(1+(('Utility Calc'!Z53-'Utility Calc'!Y53)/'Utility Calc'!Y53)-'Customer Sector'!$L$14)</f>
        <v>13.636958666565855</v>
      </c>
      <c r="BG29" s="273">
        <f>BF29*(1+(('Utility Calc'!AA53-'Utility Calc'!Z53)/'Utility Calc'!Z53)-'Customer Sector'!$L$14)</f>
        <v>13.967196206766443</v>
      </c>
      <c r="BH29" s="273">
        <f>BG29*(1+(('Utility Calc'!AB53-'Utility Calc'!AA53)/'Utility Calc'!AA53)-'Customer Sector'!$L$14)</f>
        <v>14.317987414074135</v>
      </c>
      <c r="BI29" s="273">
        <f>BH29*(1+(('Utility Calc'!AC53-'Utility Calc'!AB53)/'Utility Calc'!AB53)-'Customer Sector'!$L$14)</f>
        <v>14.690402729052053</v>
      </c>
      <c r="BJ29" s="273">
        <f>BI29*(1+(('Utility Calc'!AD53-'Utility Calc'!AC53)/'Utility Calc'!AC53)-'Customer Sector'!$L$14)</f>
        <v>15.08557002759515</v>
      </c>
      <c r="BK29" s="273">
        <f>BJ29*(1+(('Utility Calc'!AE53-'Utility Calc'!AD53)/'Utility Calc'!AD53)-'Customer Sector'!$L$14)</f>
        <v>15.504677691290595</v>
      </c>
      <c r="BL29" s="458">
        <f>BK29*(1+(('Utility Calc'!AF53-'Utility Calc'!AE53)/'Utility Calc'!AE53)-'Customer Sector'!$L$14)</f>
        <v>15.948977841339586</v>
      </c>
      <c r="BN29" s="232" t="s">
        <v>315</v>
      </c>
      <c r="BO29" s="51"/>
      <c r="BP29" s="51"/>
      <c r="BQ29" s="52" t="s">
        <v>8</v>
      </c>
      <c r="BR29" s="504">
        <f>0</f>
        <v>0</v>
      </c>
      <c r="BS29" s="504">
        <f t="shared" ref="BS29:CB29" si="27">( (H176*BS$11) + (AN177*BS$12) )/BS$10</f>
        <v>1.3957117972702032E-2</v>
      </c>
      <c r="BT29" s="504">
        <f t="shared" si="27"/>
        <v>1.3593463154580768E-2</v>
      </c>
      <c r="BU29" s="504">
        <f t="shared" si="27"/>
        <v>1.3233919481681268E-2</v>
      </c>
      <c r="BV29" s="504">
        <f t="shared" si="27"/>
        <v>1.287886459321866E-2</v>
      </c>
      <c r="BW29" s="504">
        <f t="shared" si="27"/>
        <v>1.2528641012722693E-2</v>
      </c>
      <c r="BX29" s="504">
        <f t="shared" si="27"/>
        <v>1.2183557101836752E-2</v>
      </c>
      <c r="BY29" s="504">
        <f t="shared" si="27"/>
        <v>1.1843888163130343E-2</v>
      </c>
      <c r="BZ29" s="504">
        <f t="shared" si="27"/>
        <v>1.1509877666545194E-2</v>
      </c>
      <c r="CA29" s="504">
        <f t="shared" si="27"/>
        <v>1.1181738575523398E-2</v>
      </c>
      <c r="CB29" s="504">
        <f t="shared" si="27"/>
        <v>1.0859654750479251E-2</v>
      </c>
      <c r="CC29" s="504"/>
      <c r="CD29" s="504"/>
      <c r="CE29" s="504"/>
      <c r="CF29" s="504"/>
      <c r="CG29" s="504"/>
      <c r="CH29" s="504"/>
      <c r="CI29" s="504"/>
      <c r="CJ29" s="504"/>
      <c r="CK29" s="504"/>
      <c r="CL29" s="504"/>
      <c r="CM29" s="504"/>
      <c r="CN29" s="504"/>
      <c r="CO29" s="504"/>
      <c r="CP29" s="504"/>
      <c r="CQ29" s="505"/>
    </row>
    <row r="30" spans="2:95" x14ac:dyDescent="0.25">
      <c r="B30" s="406"/>
      <c r="C30" s="407"/>
      <c r="D30" s="407"/>
      <c r="E30" s="407"/>
      <c r="F30" s="408"/>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10"/>
      <c r="AH30" s="2"/>
      <c r="AI30" s="404"/>
      <c r="AJ30" s="404" t="s">
        <v>358</v>
      </c>
      <c r="AK30" s="404"/>
      <c r="AL30" s="52" t="s">
        <v>19</v>
      </c>
      <c r="AM30" s="424">
        <f t="shared" ref="AM30:BL30" si="28">AM29+AM31</f>
        <v>10</v>
      </c>
      <c r="AN30" s="424">
        <f t="shared" si="28"/>
        <v>10.317455103911698</v>
      </c>
      <c r="AO30" s="424">
        <f t="shared" si="28"/>
        <v>10.463094943340954</v>
      </c>
      <c r="AP30" s="424">
        <f t="shared" si="28"/>
        <v>10.616703019618086</v>
      </c>
      <c r="AQ30" s="424">
        <f t="shared" si="28"/>
        <v>10.778846800647031</v>
      </c>
      <c r="AR30" s="424">
        <f t="shared" si="28"/>
        <v>10.950117881764355</v>
      </c>
      <c r="AS30" s="424">
        <f t="shared" si="28"/>
        <v>11.131133650402127</v>
      </c>
      <c r="AT30" s="424">
        <f t="shared" si="28"/>
        <v>11.322539029449555</v>
      </c>
      <c r="AU30" s="424">
        <f t="shared" si="28"/>
        <v>11.525008304417257</v>
      </c>
      <c r="AV30" s="424">
        <f t="shared" si="28"/>
        <v>11.739247039768291</v>
      </c>
      <c r="AW30" s="424">
        <f t="shared" si="28"/>
        <v>11.965994090057125</v>
      </c>
      <c r="AX30" s="424">
        <f t="shared" si="28"/>
        <v>12.138227009713273</v>
      </c>
      <c r="AY30" s="424">
        <f t="shared" si="28"/>
        <v>12.324279095135738</v>
      </c>
      <c r="AZ30" s="424">
        <f t="shared" si="28"/>
        <v>12.524784451730481</v>
      </c>
      <c r="BA30" s="424">
        <f t="shared" si="28"/>
        <v>12.74041477586181</v>
      </c>
      <c r="BB30" s="424">
        <f t="shared" si="28"/>
        <v>12.97188119928879</v>
      </c>
      <c r="BC30" s="424">
        <f t="shared" si="28"/>
        <v>13.182198429218534</v>
      </c>
      <c r="BD30" s="424">
        <f t="shared" si="28"/>
        <v>13.409775344476065</v>
      </c>
      <c r="BE30" s="424">
        <f t="shared" si="28"/>
        <v>13.655335863161774</v>
      </c>
      <c r="BF30" s="424">
        <f t="shared" si="28"/>
        <v>13.919650607752914</v>
      </c>
      <c r="BG30" s="424">
        <f t="shared" si="28"/>
        <v>14.20353901733043</v>
      </c>
      <c r="BH30" s="424">
        <f t="shared" si="28"/>
        <v>14.507871590224912</v>
      </c>
      <c r="BI30" s="424">
        <f t="shared" si="28"/>
        <v>14.833572263131462</v>
      </c>
      <c r="BJ30" s="424">
        <f t="shared" si="28"/>
        <v>15.181620933109405</v>
      </c>
      <c r="BK30" s="424">
        <f t="shared" si="28"/>
        <v>15.553056129267734</v>
      </c>
      <c r="BL30" s="425">
        <f t="shared" si="28"/>
        <v>15.948977841339586</v>
      </c>
      <c r="BN30" s="501"/>
      <c r="BO30" s="395" t="s">
        <v>457</v>
      </c>
      <c r="BP30" s="395"/>
      <c r="BQ30" s="396" t="s">
        <v>19</v>
      </c>
      <c r="BR30" s="506">
        <f>(G112+AM112)/(G121+AM121)</f>
        <v>1.2432702602513862E-2</v>
      </c>
      <c r="BS30" s="395"/>
      <c r="BT30" s="395"/>
      <c r="BU30" s="395"/>
      <c r="BV30" s="395"/>
      <c r="BW30" s="395"/>
      <c r="BX30" s="395"/>
      <c r="BY30" s="395"/>
      <c r="BZ30" s="395"/>
      <c r="CA30" s="395"/>
      <c r="CB30" s="395"/>
      <c r="CC30" s="395"/>
      <c r="CD30" s="395"/>
      <c r="CE30" s="395"/>
      <c r="CF30" s="395"/>
      <c r="CG30" s="395"/>
      <c r="CH30" s="395"/>
      <c r="CI30" s="395"/>
      <c r="CJ30" s="395"/>
      <c r="CK30" s="395"/>
      <c r="CL30" s="395"/>
      <c r="CM30" s="395"/>
      <c r="CN30" s="395"/>
      <c r="CO30" s="395"/>
      <c r="CP30" s="395"/>
      <c r="CQ30" s="507"/>
    </row>
    <row r="31" spans="2:95" x14ac:dyDescent="0.25">
      <c r="B31" s="406"/>
      <c r="C31" s="407"/>
      <c r="D31" s="407"/>
      <c r="E31" s="407"/>
      <c r="F31" s="408"/>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10"/>
      <c r="AH31" s="2"/>
      <c r="AI31" s="404"/>
      <c r="AJ31" s="404"/>
      <c r="AK31" s="404" t="s">
        <v>359</v>
      </c>
      <c r="AL31" s="52" t="s">
        <v>19</v>
      </c>
      <c r="AM31" s="424">
        <f>IF('Customer Sector'!$L$57,(AM29*AM76)/AM61,0)</f>
        <v>0</v>
      </c>
      <c r="AN31" s="424">
        <f>IF('Customer Sector'!$L$57,(AN29*AN76)/AN61,0)</f>
        <v>5.3567025521872175E-2</v>
      </c>
      <c r="AO31" s="424">
        <f>IF('Customer Sector'!$L$57,(AO29*AO76)/AO61,0)</f>
        <v>0.10655678642516554</v>
      </c>
      <c r="AP31" s="424">
        <f>IF('Customer Sector'!$L$57,(AP29*AP76)/AP61,0)</f>
        <v>0.15911842311395957</v>
      </c>
      <c r="AQ31" s="424">
        <f>IF('Customer Sector'!$L$57,(AQ29*AQ76)/AQ61,0)</f>
        <v>0.21140229182890966</v>
      </c>
      <c r="AR31" s="424">
        <f>IF('Customer Sector'!$L$57,(AR29*AR76)/AR61,0)</f>
        <v>0.26356041332627062</v>
      </c>
      <c r="AS31" s="424">
        <f>IF('Customer Sector'!$L$57,(AS29*AS76)/AS61,0)</f>
        <v>0.31574693411447669</v>
      </c>
      <c r="AT31" s="424">
        <f>IF('Customer Sector'!$L$57,(AT29*AT76)/AT61,0)</f>
        <v>0.3681186018538718</v>
      </c>
      <c r="AU31" s="424">
        <f>IF('Customer Sector'!$L$57,(AU29*AU76)/AU61,0)</f>
        <v>0.42083525659952314</v>
      </c>
      <c r="AV31" s="424">
        <f>IF('Customer Sector'!$L$57,(AV29*AV76)/AV61,0)</f>
        <v>0.47406033964828226</v>
      </c>
      <c r="AW31" s="424">
        <f>IF('Customer Sector'!$L$57,(AW29*AW76)/AW61,0)</f>
        <v>0.52796142183982231</v>
      </c>
      <c r="AX31" s="424">
        <f>IF('Customer Sector'!$L$57,(AX29*AX76)/AX61,0)</f>
        <v>0.51491405115779454</v>
      </c>
      <c r="AY31" s="424">
        <f>IF('Customer Sector'!$L$57,(AY29*AY76)/AY61,0)</f>
        <v>0.50261714909692823</v>
      </c>
      <c r="AZ31" s="424">
        <f>IF('Customer Sector'!$L$57,(AZ29*AZ76)/AZ61,0)</f>
        <v>0.491036344006412</v>
      </c>
      <c r="BA31" s="424">
        <f>IF('Customer Sector'!$L$57,(BA29*BA76)/BA61,0)</f>
        <v>0.48013892672475067</v>
      </c>
      <c r="BB31" s="424">
        <f>IF('Customer Sector'!$L$57,(BB29*BB76)/BB61,0)</f>
        <v>0.46989377117474768</v>
      </c>
      <c r="BC31" s="424">
        <f>IF('Customer Sector'!$L$57,(BC29*BC76)/BC61,0)</f>
        <v>0.42253344788743818</v>
      </c>
      <c r="BD31" s="424">
        <f>IF('Customer Sector'!$L$57,(BD29*BD76)/BD61,0)</f>
        <v>0.37564268551643626</v>
      </c>
      <c r="BE31" s="424">
        <f>IF('Customer Sector'!$L$57,(BE29*BE76)/BE61,0)</f>
        <v>0.32907698998501739</v>
      </c>
      <c r="BF31" s="424">
        <f>IF('Customer Sector'!$L$57,(BF29*BF76)/BF61,0)</f>
        <v>0.28269194118705854</v>
      </c>
      <c r="BG31" s="424">
        <f>IF('Customer Sector'!$L$57,(BG29*BG76)/BG61,0)</f>
        <v>0.23634281056398701</v>
      </c>
      <c r="BH31" s="424">
        <f>IF('Customer Sector'!$L$57,(BH29*BH76)/BH61,0)</f>
        <v>0.18988417615077754</v>
      </c>
      <c r="BI31" s="424">
        <f>IF('Customer Sector'!$L$57,(BI29*BI76)/BI61,0)</f>
        <v>0.14316953407940777</v>
      </c>
      <c r="BJ31" s="424">
        <f>IF('Customer Sector'!$L$57,(BJ29*BJ76)/BJ61,0)</f>
        <v>9.6050905514254992E-2</v>
      </c>
      <c r="BK31" s="424">
        <f>IF('Customer Sector'!$L$57,(BK29*BK76)/BK61,0)</f>
        <v>4.8378437977138047E-2</v>
      </c>
      <c r="BL31" s="425">
        <f>IF('Customer Sector'!$L$57,(BL29*BL76)/BL61,0)</f>
        <v>0</v>
      </c>
    </row>
    <row r="32" spans="2:95" x14ac:dyDescent="0.25">
      <c r="B32" s="406"/>
      <c r="C32" s="407"/>
      <c r="D32" s="407"/>
      <c r="E32" s="407"/>
      <c r="F32" s="408"/>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10"/>
      <c r="AH32" s="2"/>
      <c r="AI32" s="404"/>
      <c r="AJ32" s="423" t="s">
        <v>355</v>
      </c>
      <c r="AK32" s="404"/>
      <c r="AL32" s="52" t="s">
        <v>8</v>
      </c>
      <c r="AM32" s="424">
        <f>AM38</f>
        <v>2.2831050228310504E-2</v>
      </c>
      <c r="AN32" s="424">
        <f t="shared" ref="AN32:BL32" si="29">AN38</f>
        <v>2.3412566633360204E-2</v>
      </c>
      <c r="AO32" s="424">
        <f t="shared" si="29"/>
        <v>2.3608004106879864E-2</v>
      </c>
      <c r="AP32" s="424">
        <f>AP38</f>
        <v>2.3827962145672954E-2</v>
      </c>
      <c r="AQ32" s="424">
        <f t="shared" si="29"/>
        <v>2.4073940054106947E-2</v>
      </c>
      <c r="AR32" s="424">
        <f t="shared" si="29"/>
        <v>2.4347570822431854E-2</v>
      </c>
      <c r="AS32" s="424">
        <f t="shared" si="29"/>
        <v>2.4650636388121854E-2</v>
      </c>
      <c r="AT32" s="424">
        <f t="shared" si="29"/>
        <v>2.4985085069674444E-2</v>
      </c>
      <c r="AU32" s="424">
        <f t="shared" si="29"/>
        <v>2.5353051543067114E-2</v>
      </c>
      <c r="AV32" s="424">
        <f t="shared" si="29"/>
        <v>2.5756879804891646E-2</v>
      </c>
      <c r="AW32" s="424">
        <f t="shared" si="29"/>
        <v>2.6199149656982057E-2</v>
      </c>
      <c r="AX32" s="424">
        <f t="shared" si="29"/>
        <v>2.6623539601989571E-2</v>
      </c>
      <c r="AY32" s="424">
        <f t="shared" si="29"/>
        <v>2.7077863781516213E-2</v>
      </c>
      <c r="AZ32" s="424">
        <f t="shared" si="29"/>
        <v>2.7563653361887548E-2</v>
      </c>
      <c r="BA32" s="424">
        <f t="shared" si="29"/>
        <v>2.8082521804642407E-2</v>
      </c>
      <c r="BB32" s="424">
        <f t="shared" si="29"/>
        <v>2.8636169273148052E-2</v>
      </c>
      <c r="BC32" s="424">
        <f t="shared" si="29"/>
        <v>2.922638727442526E-2</v>
      </c>
      <c r="BD32" s="424">
        <f t="shared" si="29"/>
        <v>2.9855063548639378E-2</v>
      </c>
      <c r="BE32" s="424">
        <f t="shared" si="29"/>
        <v>3.0524187219379422E-2</v>
      </c>
      <c r="BF32" s="424">
        <f t="shared" si="29"/>
        <v>3.1235854218549051E-2</v>
      </c>
      <c r="BG32" s="424">
        <f t="shared" si="29"/>
        <v>3.1992273000435369E-2</v>
      </c>
      <c r="BH32" s="424">
        <f t="shared" si="29"/>
        <v>3.2795770560303771E-2</v>
      </c>
      <c r="BI32" s="424">
        <f t="shared" si="29"/>
        <v>3.3648798773693131E-2</v>
      </c>
      <c r="BJ32" s="424">
        <f t="shared" si="29"/>
        <v>3.4553941073456253E-2</v>
      </c>
      <c r="BK32" s="424">
        <f t="shared" si="29"/>
        <v>3.5513919482510439E-2</v>
      </c>
      <c r="BL32" s="425">
        <f t="shared" si="29"/>
        <v>3.6531602021230396E-2</v>
      </c>
      <c r="BN32" s="49" t="s">
        <v>40</v>
      </c>
    </row>
    <row r="33" spans="2:95" x14ac:dyDescent="0.25">
      <c r="B33" s="8" t="s">
        <v>210</v>
      </c>
      <c r="C33" s="9"/>
      <c r="D33" s="9"/>
      <c r="E33" s="9"/>
      <c r="F33" s="33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30"/>
      <c r="AH33" s="8" t="s">
        <v>210</v>
      </c>
      <c r="AI33" s="9"/>
      <c r="AJ33" s="9"/>
      <c r="AK33" s="9"/>
      <c r="AL33" s="33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30"/>
      <c r="BN33" s="734" t="s">
        <v>3</v>
      </c>
      <c r="BO33" s="735"/>
      <c r="BP33" s="447"/>
      <c r="BQ33" s="735" t="s">
        <v>4</v>
      </c>
      <c r="BR33" s="74" t="s">
        <v>24</v>
      </c>
      <c r="BS33" s="74" t="s">
        <v>0</v>
      </c>
      <c r="BT33" s="74" t="s">
        <v>1</v>
      </c>
      <c r="BU33" s="74" t="s">
        <v>9</v>
      </c>
      <c r="BV33" s="74" t="s">
        <v>10</v>
      </c>
      <c r="BW33" s="74" t="s">
        <v>11</v>
      </c>
      <c r="BX33" s="74" t="s">
        <v>12</v>
      </c>
      <c r="BY33" s="74" t="s">
        <v>13</v>
      </c>
      <c r="BZ33" s="74" t="s">
        <v>14</v>
      </c>
      <c r="CA33" s="74" t="s">
        <v>15</v>
      </c>
      <c r="CB33" s="74" t="s">
        <v>16</v>
      </c>
      <c r="CC33" s="74" t="s">
        <v>39</v>
      </c>
      <c r="CD33" s="74" t="s">
        <v>41</v>
      </c>
      <c r="CE33" s="74" t="s">
        <v>42</v>
      </c>
      <c r="CF33" s="74" t="s">
        <v>43</v>
      </c>
      <c r="CG33" s="74" t="s">
        <v>44</v>
      </c>
      <c r="CH33" s="74" t="s">
        <v>45</v>
      </c>
      <c r="CI33" s="74" t="s">
        <v>46</v>
      </c>
      <c r="CJ33" s="74" t="s">
        <v>47</v>
      </c>
      <c r="CK33" s="74" t="s">
        <v>48</v>
      </c>
      <c r="CL33" s="74" t="s">
        <v>49</v>
      </c>
      <c r="CM33" s="74" t="s">
        <v>50</v>
      </c>
      <c r="CN33" s="74" t="s">
        <v>51</v>
      </c>
      <c r="CO33" s="74" t="s">
        <v>52</v>
      </c>
      <c r="CP33" s="74" t="s">
        <v>53</v>
      </c>
      <c r="CQ33" s="75" t="s">
        <v>54</v>
      </c>
    </row>
    <row r="34" spans="2:95" outlineLevel="1" x14ac:dyDescent="0.25">
      <c r="B34" s="8"/>
      <c r="C34" s="3" t="s">
        <v>191</v>
      </c>
      <c r="D34" s="3"/>
      <c r="E34" s="3"/>
      <c r="F34" s="12" t="s">
        <v>8</v>
      </c>
      <c r="G34" s="34">
        <f>'Customer Sector'!F38</f>
        <v>0.12</v>
      </c>
      <c r="H34" s="34">
        <f t="shared" ref="H34:AF34" si="30">SUM(H35,H37,H22,H38)</f>
        <v>0.12514031334141734</v>
      </c>
      <c r="I34" s="34">
        <f t="shared" si="30"/>
        <v>0.12856357932087994</v>
      </c>
      <c r="J34" s="34">
        <f t="shared" si="30"/>
        <v>0.13222677062262031</v>
      </c>
      <c r="K34" s="34">
        <f t="shared" si="30"/>
        <v>0.13614422456707359</v>
      </c>
      <c r="L34" s="34">
        <f t="shared" si="30"/>
        <v>0.1403311414257567</v>
      </c>
      <c r="M34" s="34">
        <f t="shared" si="30"/>
        <v>0.14480363371158742</v>
      </c>
      <c r="N34" s="34">
        <f t="shared" si="30"/>
        <v>0.14957877774619605</v>
      </c>
      <c r="O34" s="34">
        <f t="shared" si="30"/>
        <v>0.15467466748835082</v>
      </c>
      <c r="P34" s="34">
        <f t="shared" si="30"/>
        <v>0.16011047057197081</v>
      </c>
      <c r="Q34" s="34">
        <f t="shared" si="30"/>
        <v>0.16590648645584716</v>
      </c>
      <c r="R34" s="34">
        <f t="shared" si="30"/>
        <v>0.17157041198162454</v>
      </c>
      <c r="S34" s="34">
        <f t="shared" si="30"/>
        <v>0.17800298950878388</v>
      </c>
      <c r="T34" s="34">
        <f t="shared" si="30"/>
        <v>0.18486778649486579</v>
      </c>
      <c r="U34" s="34">
        <f t="shared" si="30"/>
        <v>0.19219106919892717</v>
      </c>
      <c r="V34" s="34">
        <f t="shared" si="30"/>
        <v>0.20000074678724175</v>
      </c>
      <c r="W34" s="34">
        <f t="shared" si="30"/>
        <v>0.20832647458996334</v>
      </c>
      <c r="X34" s="34">
        <f t="shared" si="30"/>
        <v>0.21719976388649248</v>
      </c>
      <c r="Y34" s="34">
        <f t="shared" si="30"/>
        <v>0.2266540986342481</v>
      </c>
      <c r="Z34" s="34">
        <f t="shared" si="30"/>
        <v>0.23672505958205037</v>
      </c>
      <c r="AA34" s="34">
        <f t="shared" si="30"/>
        <v>0.24745045623752998</v>
      </c>
      <c r="AB34" s="34">
        <f t="shared" si="30"/>
        <v>0.25887046718800327</v>
      </c>
      <c r="AC34" s="34">
        <f t="shared" si="30"/>
        <v>0.27102778930620658</v>
      </c>
      <c r="AD34" s="34">
        <f t="shared" si="30"/>
        <v>0.2839677964062885</v>
      </c>
      <c r="AE34" s="34">
        <f t="shared" si="30"/>
        <v>0.29773870795165697</v>
      </c>
      <c r="AF34" s="219">
        <f t="shared" si="30"/>
        <v>0.31239176845478556</v>
      </c>
      <c r="AH34" s="8"/>
      <c r="AI34" s="3" t="s">
        <v>191</v>
      </c>
      <c r="AJ34" s="3"/>
      <c r="AK34" s="3"/>
      <c r="AL34" s="12" t="s">
        <v>8</v>
      </c>
      <c r="AM34" s="34">
        <f>'Customer Sector'!L38+AM38</f>
        <v>8.2831050228310499E-2</v>
      </c>
      <c r="AN34" s="34">
        <f t="shared" ref="AN34:BL34" si="31">SUM(AN35,AN39,AN22,AN40)</f>
        <v>8.8507610926242125E-2</v>
      </c>
      <c r="AO34" s="34">
        <f t="shared" si="31"/>
        <v>9.1703527048312375E-2</v>
      </c>
      <c r="AP34" s="34">
        <f t="shared" si="31"/>
        <v>9.5124951529485621E-2</v>
      </c>
      <c r="AQ34" s="34">
        <f t="shared" si="31"/>
        <v>9.878638660100042E-2</v>
      </c>
      <c r="AR34" s="34">
        <f t="shared" si="31"/>
        <v>0.1027033357434074</v>
      </c>
      <c r="AS34" s="34">
        <f t="shared" si="31"/>
        <v>0.10689237972597279</v>
      </c>
      <c r="AT34" s="34">
        <f t="shared" si="31"/>
        <v>0.11137125956736244</v>
      </c>
      <c r="AU34" s="34">
        <f t="shared" si="31"/>
        <v>0.11615896725176059</v>
      </c>
      <c r="AV34" s="34">
        <f t="shared" si="31"/>
        <v>0.1212758451723035</v>
      </c>
      <c r="AW34" s="34">
        <f t="shared" si="31"/>
        <v>0.12674369544082556</v>
      </c>
      <c r="AX34" s="34">
        <f t="shared" si="31"/>
        <v>0.1325237409872296</v>
      </c>
      <c r="AY34" s="34">
        <f t="shared" si="31"/>
        <v>0.13851502382096523</v>
      </c>
      <c r="AZ34" s="34">
        <f t="shared" si="31"/>
        <v>0.14489971532364113</v>
      </c>
      <c r="BA34" s="34">
        <f t="shared" si="31"/>
        <v>0.15170249967809021</v>
      </c>
      <c r="BB34" s="34">
        <f t="shared" si="31"/>
        <v>0.1589496281909234</v>
      </c>
      <c r="BC34" s="34">
        <f t="shared" si="31"/>
        <v>0.16666901911320611</v>
      </c>
      <c r="BD34" s="34">
        <f t="shared" si="31"/>
        <v>0.17489036383839454</v>
      </c>
      <c r="BE34" s="34">
        <f t="shared" si="31"/>
        <v>0.18364523988593628</v>
      </c>
      <c r="BF34" s="34">
        <f t="shared" si="31"/>
        <v>0.19296723110517619</v>
      </c>
      <c r="BG34" s="34">
        <f t="shared" si="31"/>
        <v>0.20289205556213935</v>
      </c>
      <c r="BH34" s="34">
        <f t="shared" si="31"/>
        <v>0.21345770160149052</v>
      </c>
      <c r="BI34" s="34">
        <f t="shared" si="31"/>
        <v>0.22470457260761822</v>
      </c>
      <c r="BJ34" s="34">
        <f t="shared" si="31"/>
        <v>0.23667564102247435</v>
      </c>
      <c r="BK34" s="34">
        <f t="shared" si="31"/>
        <v>0.24941661221366379</v>
      </c>
      <c r="BL34" s="153">
        <f t="shared" si="31"/>
        <v>0.26297609882443834</v>
      </c>
      <c r="BN34" s="736"/>
      <c r="BO34" s="737"/>
      <c r="BP34" s="448"/>
      <c r="BQ34" s="737"/>
      <c r="BR34" s="101">
        <f>'Customer Sector'!$F$7+G15</f>
        <v>2013</v>
      </c>
      <c r="BS34" s="101">
        <f>'Customer Sector'!$F$7+H15</f>
        <v>2014</v>
      </c>
      <c r="BT34" s="101">
        <f>'Customer Sector'!$F$7+I15</f>
        <v>2015</v>
      </c>
      <c r="BU34" s="101">
        <f>'Customer Sector'!$F$7+J15</f>
        <v>2016</v>
      </c>
      <c r="BV34" s="101">
        <f>'Customer Sector'!$F$7+K15</f>
        <v>2017</v>
      </c>
      <c r="BW34" s="101">
        <f>'Customer Sector'!$F$7+L15</f>
        <v>2018</v>
      </c>
      <c r="BX34" s="101">
        <f>'Customer Sector'!$F$7+M15</f>
        <v>2019</v>
      </c>
      <c r="BY34" s="101">
        <f>'Customer Sector'!$F$7+N15</f>
        <v>2020</v>
      </c>
      <c r="BZ34" s="101">
        <f>'Customer Sector'!$F$7+O15</f>
        <v>2021</v>
      </c>
      <c r="CA34" s="101">
        <f>'Customer Sector'!$F$7+P15</f>
        <v>2022</v>
      </c>
      <c r="CB34" s="101">
        <f>'Customer Sector'!$F$7+Q15</f>
        <v>2023</v>
      </c>
      <c r="CC34" s="101">
        <f>'Customer Sector'!$F$7+R15</f>
        <v>2024</v>
      </c>
      <c r="CD34" s="101">
        <f>'Customer Sector'!$F$7+S15</f>
        <v>2025</v>
      </c>
      <c r="CE34" s="101">
        <f>'Customer Sector'!$F$7+T15</f>
        <v>2026</v>
      </c>
      <c r="CF34" s="101">
        <f>'Customer Sector'!$F$7+U15</f>
        <v>2027</v>
      </c>
      <c r="CG34" s="101">
        <f>'Customer Sector'!$F$7+V15</f>
        <v>2028</v>
      </c>
      <c r="CH34" s="101">
        <f>'Customer Sector'!$F$7+W15</f>
        <v>2029</v>
      </c>
      <c r="CI34" s="101">
        <f>'Customer Sector'!$F$7+X15</f>
        <v>2030</v>
      </c>
      <c r="CJ34" s="101">
        <f>'Customer Sector'!$F$7+Y15</f>
        <v>2031</v>
      </c>
      <c r="CK34" s="101">
        <f>'Customer Sector'!$F$7+Z15</f>
        <v>2032</v>
      </c>
      <c r="CL34" s="101">
        <f>'Customer Sector'!$F$7+AA15</f>
        <v>2033</v>
      </c>
      <c r="CM34" s="101">
        <f>'Customer Sector'!$F$7+AB15</f>
        <v>2034</v>
      </c>
      <c r="CN34" s="101">
        <f>'Customer Sector'!$F$7+AC15</f>
        <v>2035</v>
      </c>
      <c r="CO34" s="101">
        <f>'Customer Sector'!$F$7+AD15</f>
        <v>2036</v>
      </c>
      <c r="CP34" s="101">
        <f>'Customer Sector'!$F$7+AE15</f>
        <v>2037</v>
      </c>
      <c r="CQ34" s="102">
        <f>'Customer Sector'!$F$7+AF15</f>
        <v>2038</v>
      </c>
    </row>
    <row r="35" spans="2:95" outlineLevel="1" x14ac:dyDescent="0.25">
      <c r="B35" s="8"/>
      <c r="C35" s="12"/>
      <c r="D35" s="154" t="s">
        <v>141</v>
      </c>
      <c r="E35" s="155"/>
      <c r="F35" s="12" t="s">
        <v>19</v>
      </c>
      <c r="G35" s="156">
        <f>'Customer Sector'!F41</f>
        <v>3.9E-2</v>
      </c>
      <c r="H35" s="156">
        <f>G35*(1+'Customer Sector'!$F$42+H158+AN158)</f>
        <v>4.1315444050936637E-2</v>
      </c>
      <c r="I35" s="156">
        <f>H35*(1+'Customer Sector'!$F$42+I158+AO158)</f>
        <v>4.3989438184525408E-2</v>
      </c>
      <c r="J35" s="156">
        <f>I35*(1+'Customer Sector'!$F$42+J158+AP158)</f>
        <v>4.6835755513504801E-2</v>
      </c>
      <c r="K35" s="156">
        <f>J35*(1+'Customer Sector'!$F$42+K158+AQ158)</f>
        <v>4.9865393768823561E-2</v>
      </c>
      <c r="L35" s="156">
        <f>K35*(1+'Customer Sector'!$F$42+L158+AR158)</f>
        <v>5.309003586829919E-2</v>
      </c>
      <c r="M35" s="156">
        <f>L35*(1+'Customer Sector'!$F$42+M158+AS158)</f>
        <v>5.6522089769046151E-2</v>
      </c>
      <c r="N35" s="156">
        <f>M35*(1+'Customer Sector'!$F$42+N158+AT158)</f>
        <v>6.0174730096826452E-2</v>
      </c>
      <c r="O35" s="156">
        <f>N35*(1+'Customer Sector'!$F$42+O158+AU158)</f>
        <v>6.4061941510361389E-2</v>
      </c>
      <c r="P35" s="156">
        <f>O35*(1+'Customer Sector'!$F$42+P158+AV158)</f>
        <v>6.8198563721669797E-2</v>
      </c>
      <c r="Q35" s="156">
        <f>P35*(1+'Customer Sector'!$F$42+Q158+AW158)</f>
        <v>7.2600338045738969E-2</v>
      </c>
      <c r="R35" s="156">
        <f>Q35*(1+'Customer Sector'!$F$42+R158+AX158)</f>
        <v>7.7809087325812668E-2</v>
      </c>
      <c r="S35" s="156">
        <f>R35*(1+'Customer Sector'!$F$42+S158+AY158)</f>
        <v>8.2866678001990476E-2</v>
      </c>
      <c r="T35" s="156">
        <f>S35*(1+'Customer Sector'!$F$42+T158+AZ158)</f>
        <v>8.8253012072119857E-2</v>
      </c>
      <c r="U35" s="156">
        <f>T35*(1+'Customer Sector'!$F$42+U158+BA158)</f>
        <v>9.3989457856807582E-2</v>
      </c>
      <c r="V35" s="156">
        <f>U35*(1+'Customer Sector'!$F$42+V158+BB158)</f>
        <v>0.10009877261750005</v>
      </c>
      <c r="W35" s="156">
        <f>V35*(1+'Customer Sector'!$F$42+W158+BC158)</f>
        <v>0.10660519283763756</v>
      </c>
      <c r="X35" s="156">
        <f>W35*(1+'Customer Sector'!$F$42+X158+BD158)</f>
        <v>0.11353453037208397</v>
      </c>
      <c r="Y35" s="156">
        <f>X35*(1+'Customer Sector'!$F$42+Y158+BE158)</f>
        <v>0.12091427484626942</v>
      </c>
      <c r="Z35" s="156">
        <f>Y35*(1+'Customer Sector'!$F$42+Z158+BF158)</f>
        <v>0.12877370271127689</v>
      </c>
      <c r="AA35" s="156">
        <f>Z35*(1+'Customer Sector'!$F$42+AA158+BG158)</f>
        <v>0.13714399338750985</v>
      </c>
      <c r="AB35" s="156">
        <f>AA35*(1+'Customer Sector'!$F$42+AB158+BH158)</f>
        <v>0.14605835295769795</v>
      </c>
      <c r="AC35" s="156">
        <f>AB35*(1+'Customer Sector'!$F$42+AC158+BI158)</f>
        <v>0.15555214589994834</v>
      </c>
      <c r="AD35" s="156">
        <f>AC35*(1+'Customer Sector'!$F$42+AD158+BJ158)</f>
        <v>0.16566303538344493</v>
      </c>
      <c r="AE35" s="156">
        <f>AD35*(1+'Customer Sector'!$F$42+AE158+BK158)</f>
        <v>0.17643113268336888</v>
      </c>
      <c r="AF35" s="157">
        <f>AE35*(1+'Customer Sector'!$F$42+AF158+BL158)</f>
        <v>0.18789915630778781</v>
      </c>
      <c r="AH35" s="8"/>
      <c r="AI35" s="12"/>
      <c r="AJ35" s="154" t="s">
        <v>141</v>
      </c>
      <c r="AK35" s="155"/>
      <c r="AL35" s="12" t="s">
        <v>19</v>
      </c>
      <c r="AM35" s="156">
        <f>'Customer Sector'!L41</f>
        <v>3.9E-2</v>
      </c>
      <c r="AN35" s="156">
        <f>AM35*(1+'Customer Sector'!$L$42+AN158+H158)</f>
        <v>4.1315444050936637E-2</v>
      </c>
      <c r="AO35" s="156">
        <f>AN35*(1+'Customer Sector'!$L$42+AO158+I158)</f>
        <v>4.3989438184525408E-2</v>
      </c>
      <c r="AP35" s="156">
        <f>AO35*(1+'Customer Sector'!$L$42+AP158+J158)</f>
        <v>4.6835755513504801E-2</v>
      </c>
      <c r="AQ35" s="156">
        <f>AP35*(1+'Customer Sector'!$L$42+AQ158+K158)</f>
        <v>4.9865393768823568E-2</v>
      </c>
      <c r="AR35" s="156">
        <f>AQ35*(1+'Customer Sector'!$L$42+AR158+L158)</f>
        <v>5.3090035868299197E-2</v>
      </c>
      <c r="AS35" s="156">
        <f>AR35*(1+'Customer Sector'!$L$42+AS158+M158)</f>
        <v>5.6522089769046158E-2</v>
      </c>
      <c r="AT35" s="156">
        <f>AS35*(1+'Customer Sector'!$L$42+AT158+N158)</f>
        <v>6.0174730096826473E-2</v>
      </c>
      <c r="AU35" s="156">
        <f>AT35*(1+'Customer Sector'!$L$42+AU158+O158)</f>
        <v>6.4061941510361417E-2</v>
      </c>
      <c r="AV35" s="156">
        <f>AU35*(1+'Customer Sector'!$L$42+AV158+P158)</f>
        <v>6.8198563721669825E-2</v>
      </c>
      <c r="AW35" s="156">
        <f>AV35*(1+'Customer Sector'!$L$42+AW158+Q158)</f>
        <v>7.2600338045738996E-2</v>
      </c>
      <c r="AX35" s="156">
        <f>AW35*(1+'Customer Sector'!$L$42+AX158+R158)</f>
        <v>7.7809087325812695E-2</v>
      </c>
      <c r="AY35" s="156">
        <f>AX35*(1+'Customer Sector'!$L$42+AY158+S158)</f>
        <v>8.2866678001990504E-2</v>
      </c>
      <c r="AZ35" s="156">
        <f>AY35*(1+'Customer Sector'!$L$42+AZ158+T158)</f>
        <v>8.8253012072119885E-2</v>
      </c>
      <c r="BA35" s="156">
        <f>AZ35*(1+'Customer Sector'!$L$42+BA158+U158)</f>
        <v>9.3989457856807609E-2</v>
      </c>
      <c r="BB35" s="156">
        <f>BA35*(1+'Customer Sector'!$L$42+BB158+V158)</f>
        <v>0.10009877261750008</v>
      </c>
      <c r="BC35" s="156">
        <f>BB35*(1+'Customer Sector'!$L$42+BC158+W158)</f>
        <v>0.10660519283763759</v>
      </c>
      <c r="BD35" s="156">
        <f>BC35*(1+'Customer Sector'!$L$42+BD158+X158)</f>
        <v>0.113534530372084</v>
      </c>
      <c r="BE35" s="156">
        <f>BD35*(1+'Customer Sector'!$L$42+BE158+Y158)</f>
        <v>0.12091427484626945</v>
      </c>
      <c r="BF35" s="156">
        <f>BE35*(1+'Customer Sector'!$L$42+BF158+Z158)</f>
        <v>0.12877370271127692</v>
      </c>
      <c r="BG35" s="156">
        <f>BF35*(1+'Customer Sector'!$L$42+BG158+AA158)</f>
        <v>0.13714399338750988</v>
      </c>
      <c r="BH35" s="156">
        <f>BG35*(1+'Customer Sector'!$L$42+BH158+AB158)</f>
        <v>0.14605835295769798</v>
      </c>
      <c r="BI35" s="156">
        <f>BH35*(1+'Customer Sector'!$L$42+BI158+AC158)</f>
        <v>0.15555214589994837</v>
      </c>
      <c r="BJ35" s="156">
        <f>BI35*(1+'Customer Sector'!$L$42+BJ158+AD158)</f>
        <v>0.16566303538344496</v>
      </c>
      <c r="BK35" s="156">
        <f>BJ35*(1+'Customer Sector'!$L$42+BK158+AE158)</f>
        <v>0.17643113268336891</v>
      </c>
      <c r="BL35" s="157">
        <f>BK35*(1+'Customer Sector'!$L$42+BL158+AF158)</f>
        <v>0.18789915630778783</v>
      </c>
      <c r="BN35" s="31" t="s">
        <v>112</v>
      </c>
      <c r="BO35" s="32"/>
      <c r="BP35" s="32"/>
      <c r="BQ35" s="109" t="s">
        <v>229</v>
      </c>
      <c r="BR35" s="255">
        <f t="shared" ref="BR35:CQ35" si="32">(G213*BR41+AM217*BR42)/BR40</f>
        <v>0</v>
      </c>
      <c r="BS35" s="255">
        <f t="shared" ca="1" si="32"/>
        <v>2.9937776016671059E-3</v>
      </c>
      <c r="BT35" s="255">
        <f t="shared" ca="1" si="32"/>
        <v>1.7508900178938316E-3</v>
      </c>
      <c r="BU35" s="255">
        <f t="shared" ca="1" si="32"/>
        <v>4.3278015752488285E-4</v>
      </c>
      <c r="BV35" s="255">
        <f t="shared" ca="1" si="32"/>
        <v>-9.6185568321308654E-4</v>
      </c>
      <c r="BW35" s="255">
        <f t="shared" ca="1" si="32"/>
        <v>-2.4341574650381011E-3</v>
      </c>
      <c r="BX35" s="255">
        <f t="shared" ca="1" si="32"/>
        <v>-3.9851177167395061E-3</v>
      </c>
      <c r="BY35" s="255">
        <f t="shared" ca="1" si="32"/>
        <v>-5.6156023936052846E-3</v>
      </c>
      <c r="BZ35" s="255">
        <f t="shared" ca="1" si="32"/>
        <v>-7.3263761778452402E-3</v>
      </c>
      <c r="CA35" s="255">
        <f t="shared" ca="1" si="32"/>
        <v>-9.11813208532509E-3</v>
      </c>
      <c r="CB35" s="255">
        <f t="shared" ca="1" si="32"/>
        <v>-1.0991525236228096E-2</v>
      </c>
      <c r="CC35" s="255">
        <f t="shared" ca="1" si="32"/>
        <v>-1.3379081758296111E-2</v>
      </c>
      <c r="CD35" s="255">
        <f t="shared" ca="1" si="32"/>
        <v>-1.3648542276275518E-2</v>
      </c>
      <c r="CE35" s="255">
        <f t="shared" ca="1" si="32"/>
        <v>-1.391337944565098E-2</v>
      </c>
      <c r="CF35" s="255">
        <f t="shared" ca="1" si="32"/>
        <v>-1.4173228030748452E-2</v>
      </c>
      <c r="CG35" s="255">
        <f t="shared" ca="1" si="32"/>
        <v>-1.44277638309021E-2</v>
      </c>
      <c r="CH35" s="255">
        <f t="shared" ca="1" si="32"/>
        <v>-1.4676704009581262E-2</v>
      </c>
      <c r="CI35" s="255">
        <f t="shared" ca="1" si="32"/>
        <v>-1.4919806895896094E-2</v>
      </c>
      <c r="CJ35" s="255">
        <f t="shared" ca="1" si="32"/>
        <v>-1.5156871303874242E-2</v>
      </c>
      <c r="CK35" s="255">
        <f t="shared" ca="1" si="32"/>
        <v>-1.5387735421464209E-2</v>
      </c>
      <c r="CL35" s="255">
        <f t="shared" ca="1" si="32"/>
        <v>-1.5612275325599041E-2</v>
      </c>
      <c r="CM35" s="255">
        <f t="shared" ca="1" si="32"/>
        <v>-1.5830403181989573E-2</v>
      </c>
      <c r="CN35" s="255">
        <f t="shared" ca="1" si="32"/>
        <v>-1.6042065188768866E-2</v>
      </c>
      <c r="CO35" s="255">
        <f t="shared" ca="1" si="32"/>
        <v>-1.6247239321923061E-2</v>
      </c>
      <c r="CP35" s="255">
        <f t="shared" ca="1" si="32"/>
        <v>-1.6445932937848583E-2</v>
      </c>
      <c r="CQ35" s="256">
        <f t="shared" ca="1" si="32"/>
        <v>-1.6638180284705671E-2</v>
      </c>
    </row>
    <row r="36" spans="2:95" outlineLevel="1" x14ac:dyDescent="0.25">
      <c r="B36" s="8"/>
      <c r="C36" s="12"/>
      <c r="D36" s="154"/>
      <c r="E36" s="155" t="s">
        <v>78</v>
      </c>
      <c r="F36" s="12" t="s">
        <v>19</v>
      </c>
      <c r="G36" s="156">
        <v>0</v>
      </c>
      <c r="H36" s="160">
        <f t="shared" ref="H36:AF36" si="33">H35-H42</f>
        <v>-2.195559490633589E-4</v>
      </c>
      <c r="I36" s="160">
        <f t="shared" si="33"/>
        <v>-2.4533681547458247E-4</v>
      </c>
      <c r="J36" s="160">
        <f t="shared" si="33"/>
        <v>-2.7427986149518302E-4</v>
      </c>
      <c r="K36" s="160">
        <f t="shared" si="33"/>
        <v>-3.0679390555141822E-4</v>
      </c>
      <c r="L36" s="160">
        <f t="shared" si="33"/>
        <v>-3.4334400491015798E-4</v>
      </c>
      <c r="M36" s="160">
        <f t="shared" si="33"/>
        <v>-3.8445979592180435E-4</v>
      </c>
      <c r="N36" s="160">
        <f t="shared" si="33"/>
        <v>-4.3074518986441906E-4</v>
      </c>
      <c r="O36" s="160">
        <f t="shared" si="33"/>
        <v>-4.8288966996438976E-4</v>
      </c>
      <c r="P36" s="160">
        <f t="shared" si="33"/>
        <v>-5.4168148537715732E-4</v>
      </c>
      <c r="Q36" s="160">
        <f t="shared" si="33"/>
        <v>-6.0802309976602797E-4</v>
      </c>
      <c r="R36" s="160">
        <f t="shared" si="33"/>
        <v>-1.5781729415015322E-4</v>
      </c>
      <c r="S36" s="160">
        <f t="shared" si="33"/>
        <v>-1.6807541826992234E-4</v>
      </c>
      <c r="T36" s="160">
        <f t="shared" si="33"/>
        <v>-1.7900032045746472E-4</v>
      </c>
      <c r="U36" s="160">
        <f t="shared" si="33"/>
        <v>-1.906353412872569E-4</v>
      </c>
      <c r="V36" s="160">
        <f t="shared" si="33"/>
        <v>-2.0302663847093783E-4</v>
      </c>
      <c r="W36" s="160">
        <f t="shared" si="33"/>
        <v>-2.1622336997154101E-4</v>
      </c>
      <c r="X36" s="160">
        <f t="shared" si="33"/>
        <v>-2.3027788901971991E-4</v>
      </c>
      <c r="Y36" s="160">
        <f t="shared" si="33"/>
        <v>-2.4524595180600017E-4</v>
      </c>
      <c r="Z36" s="160">
        <f t="shared" si="33"/>
        <v>-2.6118693867341336E-4</v>
      </c>
      <c r="AA36" s="160">
        <f t="shared" si="33"/>
        <v>-2.7816408968722728E-4</v>
      </c>
      <c r="AB36" s="160">
        <f t="shared" si="33"/>
        <v>-2.9624475551692786E-4</v>
      </c>
      <c r="AC36" s="160">
        <f t="shared" si="33"/>
        <v>-3.1550066462548987E-4</v>
      </c>
      <c r="AD36" s="160">
        <f t="shared" si="33"/>
        <v>-3.3600820782619945E-4</v>
      </c>
      <c r="AE36" s="160">
        <f t="shared" si="33"/>
        <v>-3.5784874133487632E-4</v>
      </c>
      <c r="AF36" s="161">
        <f t="shared" si="33"/>
        <v>-3.8110890952167131E-4</v>
      </c>
      <c r="AH36" s="8"/>
      <c r="AI36" s="12"/>
      <c r="AJ36" s="154"/>
      <c r="AK36" s="155" t="s">
        <v>78</v>
      </c>
      <c r="AL36" s="12" t="s">
        <v>19</v>
      </c>
      <c r="AM36" s="156">
        <v>0</v>
      </c>
      <c r="AN36" s="160">
        <f t="shared" ref="AN36:BL36" si="34">AN35-AN42</f>
        <v>-2.195559490633589E-4</v>
      </c>
      <c r="AO36" s="160">
        <f t="shared" si="34"/>
        <v>-2.4533681547458247E-4</v>
      </c>
      <c r="AP36" s="160">
        <f t="shared" si="34"/>
        <v>-2.7427986149518302E-4</v>
      </c>
      <c r="AQ36" s="160">
        <f t="shared" si="34"/>
        <v>-3.0679390555141128E-4</v>
      </c>
      <c r="AR36" s="160">
        <f t="shared" si="34"/>
        <v>-3.4334400491015105E-4</v>
      </c>
      <c r="AS36" s="160">
        <f t="shared" si="34"/>
        <v>-3.8445979592179741E-4</v>
      </c>
      <c r="AT36" s="160">
        <f t="shared" si="34"/>
        <v>-4.3074518986439825E-4</v>
      </c>
      <c r="AU36" s="160">
        <f t="shared" si="34"/>
        <v>-4.82889669964362E-4</v>
      </c>
      <c r="AV36" s="160">
        <f t="shared" si="34"/>
        <v>-5.4168148537712957E-4</v>
      </c>
      <c r="AW36" s="160">
        <f t="shared" si="34"/>
        <v>-6.0802309976600022E-4</v>
      </c>
      <c r="AX36" s="160">
        <f t="shared" si="34"/>
        <v>-1.5781729415012546E-4</v>
      </c>
      <c r="AY36" s="160">
        <f t="shared" si="34"/>
        <v>-1.6807541826989458E-4</v>
      </c>
      <c r="AZ36" s="160">
        <f t="shared" si="34"/>
        <v>-1.7900032045743697E-4</v>
      </c>
      <c r="BA36" s="160">
        <f t="shared" si="34"/>
        <v>-1.9063534128722914E-4</v>
      </c>
      <c r="BB36" s="160">
        <f t="shared" si="34"/>
        <v>-2.0302663847091007E-4</v>
      </c>
      <c r="BC36" s="160">
        <f t="shared" si="34"/>
        <v>-2.1622336997151326E-4</v>
      </c>
      <c r="BD36" s="160">
        <f t="shared" si="34"/>
        <v>-2.3027788901969215E-4</v>
      </c>
      <c r="BE36" s="160">
        <f t="shared" si="34"/>
        <v>-2.4524595180597242E-4</v>
      </c>
      <c r="BF36" s="160">
        <f t="shared" si="34"/>
        <v>-2.611869386733856E-4</v>
      </c>
      <c r="BG36" s="160">
        <f t="shared" si="34"/>
        <v>-2.7816408968719952E-4</v>
      </c>
      <c r="BH36" s="160">
        <f t="shared" si="34"/>
        <v>-2.962447555169001E-4</v>
      </c>
      <c r="BI36" s="160">
        <f t="shared" si="34"/>
        <v>-3.1550066462546211E-4</v>
      </c>
      <c r="BJ36" s="160">
        <f t="shared" si="34"/>
        <v>-3.3600820782617169E-4</v>
      </c>
      <c r="BK36" s="160">
        <f t="shared" si="34"/>
        <v>-3.5784874133484856E-4</v>
      </c>
      <c r="BL36" s="161">
        <f t="shared" si="34"/>
        <v>-3.8110890952164356E-4</v>
      </c>
      <c r="BN36" s="10"/>
      <c r="BO36" s="11" t="s">
        <v>227</v>
      </c>
      <c r="BP36" s="11"/>
      <c r="BQ36" s="446" t="s">
        <v>19</v>
      </c>
      <c r="BR36" s="246">
        <v>0</v>
      </c>
      <c r="BS36" s="246">
        <f t="shared" ref="BS36:CQ36" ca="1" si="35">(H214*BS47+AN218*BS48)/BS46</f>
        <v>-7.9501599753563537E-2</v>
      </c>
      <c r="BT36" s="246">
        <f t="shared" ca="1" si="35"/>
        <v>-7.8674552088582539E-2</v>
      </c>
      <c r="BU36" s="246">
        <f t="shared" ca="1" si="35"/>
        <v>-7.7912554738807552E-2</v>
      </c>
      <c r="BV36" s="246">
        <f t="shared" ca="1" si="35"/>
        <v>-7.7214517110106642E-2</v>
      </c>
      <c r="BW36" s="246">
        <f t="shared" ca="1" si="35"/>
        <v>-7.6578910452646698E-2</v>
      </c>
      <c r="BX36" s="246">
        <f t="shared" ca="1" si="35"/>
        <v>-7.6003759397748089E-2</v>
      </c>
      <c r="BY36" s="246">
        <f t="shared" ca="1" si="35"/>
        <v>-7.548663602199894E-2</v>
      </c>
      <c r="BZ36" s="246">
        <f t="shared" ca="1" si="35"/>
        <v>-7.5024656129899767E-2</v>
      </c>
      <c r="CA36" s="246">
        <f t="shared" ca="1" si="35"/>
        <v>-7.4614477385330141E-2</v>
      </c>
      <c r="CB36" s="246">
        <f t="shared" ca="1" si="35"/>
        <v>-7.4252298876194639E-2</v>
      </c>
      <c r="CC36" s="246">
        <f t="shared" ca="1" si="35"/>
        <v>-7.7329795573834292E-2</v>
      </c>
      <c r="CD36" s="246">
        <f t="shared" ca="1" si="35"/>
        <v>-7.8479599303098072E-2</v>
      </c>
      <c r="CE36" s="246">
        <f t="shared" ca="1" si="35"/>
        <v>-7.9633488450301687E-2</v>
      </c>
      <c r="CF36" s="246">
        <f t="shared" ca="1" si="35"/>
        <v>-8.0791217068162072E-2</v>
      </c>
      <c r="CG36" s="246">
        <f t="shared" ca="1" si="35"/>
        <v>-8.1952581651931145E-2</v>
      </c>
      <c r="CH36" s="246">
        <f t="shared" ca="1" si="35"/>
        <v>-8.3117421158594787E-2</v>
      </c>
      <c r="CI36" s="246">
        <f t="shared" ca="1" si="35"/>
        <v>-8.4285616522416673E-2</v>
      </c>
      <c r="CJ36" s="246">
        <f t="shared" ca="1" si="35"/>
        <v>-8.5457089716045917E-2</v>
      </c>
      <c r="CK36" s="246">
        <f t="shared" ca="1" si="35"/>
        <v>-8.6631802411813896E-2</v>
      </c>
      <c r="CL36" s="246">
        <f t="shared" ca="1" si="35"/>
        <v>-8.7809754301140949E-2</v>
      </c>
      <c r="CM36" s="246">
        <f t="shared" ca="1" si="35"/>
        <v>-8.8990981131300301E-2</v>
      </c>
      <c r="CN36" s="246">
        <f t="shared" ca="1" si="35"/>
        <v>-9.017555251836655E-2</v>
      </c>
      <c r="CO36" s="246">
        <f t="shared" ca="1" si="35"/>
        <v>-9.1363569593224933E-2</v>
      </c>
      <c r="CP36" s="246">
        <f t="shared" ca="1" si="35"/>
        <v>-9.2555162534324872E-2</v>
      </c>
      <c r="CQ36" s="249">
        <f t="shared" ca="1" si="35"/>
        <v>-9.3750488036701482E-2</v>
      </c>
    </row>
    <row r="37" spans="2:95" outlineLevel="1" x14ac:dyDescent="0.25">
      <c r="B37" s="10"/>
      <c r="C37" s="12"/>
      <c r="D37" s="154" t="s">
        <v>143</v>
      </c>
      <c r="E37" s="155"/>
      <c r="F37" s="12" t="s">
        <v>19</v>
      </c>
      <c r="G37" s="426">
        <f>G34-G35</f>
        <v>8.0999999999999989E-2</v>
      </c>
      <c r="H37" s="426">
        <f>G37*(1+(('Utility Calc'!H55-'Utility Calc'!G55)/'Utility Calc'!G55)-'Customer Sector'!$F$12)</f>
        <v>8.2943093434957593E-2</v>
      </c>
      <c r="I37" s="426">
        <f>H37*(1+(('Utility Calc'!I55-'Utility Calc'!H55)/'Utility Calc'!H55)-'Customer Sector'!$F$12)</f>
        <v>8.3492740836596024E-2</v>
      </c>
      <c r="J37" s="426">
        <f>I37*(1+(('Utility Calc'!J55-'Utility Calc'!I55)/'Utility Calc'!I55)-'Customer Sector'!$F$12)</f>
        <v>8.4106978362833762E-2</v>
      </c>
      <c r="K37" s="426">
        <f>J37*(1+(('Utility Calc'!K55-'Utility Calc'!J55)/'Utility Calc'!J55)-'Customer Sector'!$F$12)</f>
        <v>8.4788689438926201E-2</v>
      </c>
      <c r="L37" s="426">
        <f>K37*(1+(('Utility Calc'!L55-'Utility Calc'!K55)/'Utility Calc'!K55)-'Customer Sector'!$F$12)</f>
        <v>8.5540908415353681E-2</v>
      </c>
      <c r="M37" s="426">
        <f>L37*(1+(('Utility Calc'!M55-'Utility Calc'!L55)/'Utility Calc'!L55)-'Customer Sector'!$F$12)</f>
        <v>8.6366828279327373E-2</v>
      </c>
      <c r="N37" s="426">
        <f>M37*(1+(('Utility Calc'!N55-'Utility Calc'!M55)/'Utility Calc'!M55)-'Customer Sector'!$F$12)</f>
        <v>8.7269808761879203E-2</v>
      </c>
      <c r="O37" s="426">
        <f>N37*(1+(('Utility Calc'!O55-'Utility Calc'!N55)/'Utility Calc'!N55)-'Customer Sector'!$F$12)</f>
        <v>8.8253384860462553E-2</v>
      </c>
      <c r="P37" s="426">
        <f>O37*(1+(('Utility Calc'!P55-'Utility Calc'!O55)/'Utility Calc'!O55)-'Customer Sector'!$F$12)</f>
        <v>8.9321275797972804E-2</v>
      </c>
      <c r="Q37" s="426">
        <f>P37*(1+(('Utility Calc'!Q55-'Utility Calc'!P55)/'Utility Calc'!P55)-'Customer Sector'!$F$12)</f>
        <v>9.0477394440131684E-2</v>
      </c>
      <c r="R37" s="426">
        <f>Q37*(1+(('Utility Calc'!R55-'Utility Calc'!Q55)/'Utility Calc'!Q55)-'Customer Sector'!$F$12)</f>
        <v>9.1725857194270288E-2</v>
      </c>
      <c r="S37" s="426">
        <f>R37*(1+(('Utility Calc'!S55-'Utility Calc'!R55)/'Utility Calc'!R55)-'Customer Sector'!$F$12)</f>
        <v>9.307099441369536E-2</v>
      </c>
      <c r="T37" s="426">
        <f>S37*(1+(('Utility Calc'!T55-'Utility Calc'!S55)/'Utility Calc'!S55)-'Customer Sector'!$F$12)</f>
        <v>9.4517361333035607E-2</v>
      </c>
      <c r="U37" s="426">
        <f>T37*(1+(('Utility Calc'!U55-'Utility Calc'!T55)/'Utility Calc'!T55)-'Customer Sector'!$F$12)</f>
        <v>9.6069749561245657E-2</v>
      </c>
      <c r="V37" s="426">
        <f>U37*(1+(('Utility Calc'!V55-'Utility Calc'!U55)/'Utility Calc'!U55)-'Customer Sector'!$F$12)</f>
        <v>9.7733199160293549E-2</v>
      </c>
      <c r="W37" s="426">
        <f>V37*(1+(('Utility Calc'!W55-'Utility Calc'!V55)/'Utility Calc'!V55)-'Customer Sector'!$F$12)</f>
        <v>9.9513011338983992E-2</v>
      </c>
      <c r="X37" s="426">
        <f>W37*(1+(('Utility Calc'!X55-'Utility Calc'!W55)/'Utility Calc'!W55)-'Customer Sector'!$F$12)</f>
        <v>0.10141476179287219</v>
      </c>
      <c r="Y37" s="426">
        <f>X37*(1+(('Utility Calc'!Y55-'Utility Calc'!X55)/'Utility Calc'!X55)-'Customer Sector'!$F$12)</f>
        <v>0.10344431472281072</v>
      </c>
      <c r="Z37" s="426">
        <f>Y37*(1+(('Utility Calc'!Z55-'Utility Calc'!Y55)/'Utility Calc'!Y55)-'Customer Sector'!$F$12)</f>
        <v>0.10560783756634455</v>
      </c>
      <c r="AA37" s="426">
        <f>Z37*(1+(('Utility Calc'!AA55-'Utility Calc'!Z55)/'Utility Calc'!Z55)-'Customer Sector'!$F$12)</f>
        <v>0.10791181647793473</v>
      </c>
      <c r="AB37" s="426">
        <f>AA37*(1+(('Utility Calc'!AB55-'Utility Calc'!AA55)/'Utility Calc'!AA55)-'Customer Sector'!$F$12)</f>
        <v>0.11036307259585283</v>
      </c>
      <c r="AC37" s="426">
        <f>AB37*(1+(('Utility Calc'!AC55-'Utility Calc'!AB55)/'Utility Calc'!AB55)-'Customer Sector'!$F$12)</f>
        <v>0.11296877913554904</v>
      </c>
      <c r="AD37" s="426">
        <f>AC37*(1+(('Utility Calc'!AD55-'Utility Calc'!AC55)/'Utility Calc'!AC55)-'Customer Sector'!$F$12)</f>
        <v>0.11573647935136099</v>
      </c>
      <c r="AE37" s="426">
        <f>AD37*(1+(('Utility Calc'!AE55-'Utility Calc'!AD55)/'Utility Calc'!AD55)-'Customer Sector'!$F$12)</f>
        <v>0.11867410541060937</v>
      </c>
      <c r="AF37" s="427">
        <f>AE37*(1+(('Utility Calc'!AF55-'Utility Calc'!AE55)/'Utility Calc'!AE55)-'Customer Sector'!$F$12)</f>
        <v>0.12178999822641011</v>
      </c>
      <c r="AH37" s="10"/>
      <c r="AI37" s="12"/>
      <c r="AJ37" s="154" t="s">
        <v>143</v>
      </c>
      <c r="AK37" s="155"/>
      <c r="AL37" s="12" t="s">
        <v>19</v>
      </c>
      <c r="AM37" s="426">
        <f>AM38</f>
        <v>2.2831050228310504E-2</v>
      </c>
      <c r="AN37" s="426">
        <f>AM37*(1+(('Utility Calc'!H53-'Utility Calc'!G53)/'Utility Calc'!G53)-'Customer Sector'!$L$12)</f>
        <v>2.3433534425547551E-2</v>
      </c>
      <c r="AO37" s="426">
        <f>AN37*(1+(('Utility Calc'!I53-'Utility Calc'!H53)/'Utility Calc'!H53)-'Customer Sector'!$L$12)</f>
        <v>2.3645064285195864E-2</v>
      </c>
      <c r="AP37" s="426">
        <f>AO37*(1+(('Utility Calc'!J53-'Utility Calc'!I53)/'Utility Calc'!I53)-'Customer Sector'!$L$12)</f>
        <v>2.3875763918959198E-2</v>
      </c>
      <c r="AQ37" s="426">
        <f>AP37*(1+(('Utility Calc'!K53-'Utility Calc'!J53)/'Utility Calc'!J53)-'Customer Sector'!$L$12)</f>
        <v>2.4126585636571062E-2</v>
      </c>
      <c r="AR37" s="426">
        <f>AQ37*(1+(('Utility Calc'!L53-'Utility Calc'!K53)/'Utility Calc'!K53)-'Customer Sector'!$L$12)</f>
        <v>2.439853303296367E-2</v>
      </c>
      <c r="AS37" s="426">
        <f>AR37*(1+(('Utility Calc'!M53-'Utility Calc'!L53)/'Utility Calc'!L53)-'Customer Sector'!$L$12)</f>
        <v>2.4692663735816564E-2</v>
      </c>
      <c r="AT37" s="426">
        <f>AS37*(1+(('Utility Calc'!N53-'Utility Calc'!M53)/'Utility Calc'!M53)-'Customer Sector'!$L$12)</f>
        <v>2.5010092300446776E-2</v>
      </c>
      <c r="AU37" s="426">
        <f>AT37*(1+(('Utility Calc'!O53-'Utility Calc'!N53)/'Utility Calc'!N53)-'Customer Sector'!$L$12)</f>
        <v>2.5351993259857857E-2</v>
      </c>
      <c r="AV37" s="426">
        <f>AU37*(1+(('Utility Calc'!P53-'Utility Calc'!O53)/'Utility Calc'!O53)-'Customer Sector'!$L$12)</f>
        <v>2.5719604338173548E-2</v>
      </c>
      <c r="AW37" s="426">
        <f>AV37*(1+(('Utility Calc'!Q53-'Utility Calc'!P53)/'Utility Calc'!P53)-'Customer Sector'!$L$12)</f>
        <v>2.6114229836112574E-2</v>
      </c>
      <c r="AX37" s="426">
        <f>AW37*(1+(('Utility Calc'!R53-'Utility Calc'!Q53)/'Utility Calc'!Q53)-'Customer Sector'!$L$12)</f>
        <v>2.6537244197615259E-2</v>
      </c>
      <c r="AY37" s="426">
        <f>AX37*(1+(('Utility Calc'!S53-'Utility Calc'!R53)/'Utility Calc'!R53)-'Customer Sector'!$L$12)</f>
        <v>2.6990095767211911E-2</v>
      </c>
      <c r="AZ37" s="426">
        <f>AY37*(1+(('Utility Calc'!T53-'Utility Calc'!S53)/'Utility Calc'!S53)-'Customer Sector'!$L$12)</f>
        <v>2.7474310748228484E-2</v>
      </c>
      <c r="BA37" s="426">
        <f>AZ37*(1+(('Utility Calc'!U53-'Utility Calc'!T53)/'Utility Calc'!T53)-'Customer Sector'!$L$12)</f>
        <v>2.7991497372459057E-2</v>
      </c>
      <c r="BB37" s="426">
        <f>BA37*(1+(('Utility Calc'!V53-'Utility Calc'!U53)/'Utility Calc'!U53)-'Customer Sector'!$L$12)</f>
        <v>2.854335029249783E-2</v>
      </c>
      <c r="BC37" s="426">
        <f>BB37*(1+(('Utility Calc'!W53-'Utility Calc'!V53)/'Utility Calc'!V53)-'Customer Sector'!$L$12)</f>
        <v>2.91316552085185E-2</v>
      </c>
      <c r="BD37" s="426">
        <f>BC37*(1+(('Utility Calc'!X53-'Utility Calc'!W53)/'Utility Calc'!W53)-'Customer Sector'!$L$12)</f>
        <v>2.9758293741916977E-2</v>
      </c>
      <c r="BE37" s="426">
        <f>BD37*(1+(('Utility Calc'!Y53-'Utility Calc'!X53)/'Utility Calc'!X53)-'Customer Sector'!$L$12)</f>
        <v>3.042524856889672E-2</v>
      </c>
      <c r="BF37" s="426">
        <f>BE37*(1+(('Utility Calc'!Z53-'Utility Calc'!Y53)/'Utility Calc'!Y53)-'Customer Sector'!$L$12)</f>
        <v>3.1134608827775939E-2</v>
      </c>
      <c r="BG37" s="426">
        <f>BF37*(1+(('Utility Calc'!AA53-'Utility Calc'!Z53)/'Utility Calc'!Z53)-'Customer Sector'!$L$12)</f>
        <v>3.1888575814535275E-2</v>
      </c>
      <c r="BH37" s="426">
        <f>BG37*(1+(('Utility Calc'!AB53-'Utility Calc'!AA53)/'Utility Calc'!AA53)-'Customer Sector'!$L$12)</f>
        <v>3.2689468981904432E-2</v>
      </c>
      <c r="BI37" s="426">
        <f>BH37*(1+(('Utility Calc'!AC53-'Utility Calc'!AB53)/'Utility Calc'!AB53)-'Customer Sector'!$L$12)</f>
        <v>3.3539732258109724E-2</v>
      </c>
      <c r="BJ37" s="426">
        <f>BI37*(1+(('Utility Calc'!AD53-'Utility Calc'!AC53)/'Utility Calc'!AC53)-'Customer Sector'!$L$12)</f>
        <v>3.4441940702272043E-2</v>
      </c>
      <c r="BK37" s="426">
        <f>BJ37*(1+(('Utility Calc'!AE53-'Utility Calc'!AD53)/'Utility Calc'!AD53)-'Customer Sector'!$L$12)</f>
        <v>3.5398807514362106E-2</v>
      </c>
      <c r="BL37" s="427">
        <f>BK37*(1+(('Utility Calc'!AF53-'Utility Calc'!AE53)/'Utility Calc'!AE53)-'Customer Sector'!$L$12)</f>
        <v>3.6413191418583547E-2</v>
      </c>
      <c r="BN37" s="10"/>
      <c r="BO37" s="11" t="s">
        <v>228</v>
      </c>
      <c r="BP37" s="11"/>
      <c r="BQ37" s="446" t="s">
        <v>19</v>
      </c>
      <c r="BR37" s="433">
        <f t="shared" ref="BR37:CQ37" si="36">(G215*BR44+AM219*BR45)/BR43</f>
        <v>0</v>
      </c>
      <c r="BS37" s="433">
        <f t="shared" ca="1" si="36"/>
        <v>5.357861132102665E-3</v>
      </c>
      <c r="BT37" s="433">
        <f t="shared" ca="1" si="36"/>
        <v>6.5528702673302982E-3</v>
      </c>
      <c r="BU37" s="433">
        <f t="shared" ca="1" si="36"/>
        <v>7.6818685818923265E-3</v>
      </c>
      <c r="BV37" s="433">
        <f t="shared" ca="1" si="36"/>
        <v>8.7447193269359225E-3</v>
      </c>
      <c r="BW37" s="433">
        <f t="shared" ca="1" si="36"/>
        <v>9.7414470191906667E-3</v>
      </c>
      <c r="BX37" s="433">
        <f t="shared" ca="1" si="36"/>
        <v>1.0672196456426012E-2</v>
      </c>
      <c r="BY37" s="433">
        <f t="shared" ca="1" si="36"/>
        <v>1.1537177617080089E-2</v>
      </c>
      <c r="BZ37" s="433">
        <f t="shared" ca="1" si="36"/>
        <v>1.2336592764939905E-2</v>
      </c>
      <c r="CA37" s="433">
        <f t="shared" ca="1" si="36"/>
        <v>1.3070540447178052E-2</v>
      </c>
      <c r="CB37" s="433">
        <f t="shared" ca="1" si="36"/>
        <v>1.3738888584347474E-2</v>
      </c>
      <c r="CC37" s="433">
        <f t="shared" ca="1" si="36"/>
        <v>1.1380580089640579E-2</v>
      </c>
      <c r="CD37" s="433">
        <f t="shared" ca="1" si="36"/>
        <v>1.1115307673965482E-2</v>
      </c>
      <c r="CE37" s="433">
        <f t="shared" ca="1" si="36"/>
        <v>1.0855130960577214E-2</v>
      </c>
      <c r="CF37" s="433">
        <f t="shared" ca="1" si="36"/>
        <v>1.0600418111865274E-2</v>
      </c>
      <c r="CG37" s="433">
        <f t="shared" ca="1" si="36"/>
        <v>1.0351494051689598E-2</v>
      </c>
      <c r="CH37" s="433">
        <f t="shared" ca="1" si="36"/>
        <v>1.0108640328087285E-2</v>
      </c>
      <c r="CI37" s="433">
        <f t="shared" ca="1" si="36"/>
        <v>9.8720955109668218E-3</v>
      </c>
      <c r="CJ37" s="433">
        <f t="shared" ca="1" si="36"/>
        <v>9.6420560747324628E-3</v>
      </c>
      <c r="CK37" s="433">
        <f t="shared" ca="1" si="36"/>
        <v>9.4186777097885633E-3</v>
      </c>
      <c r="CL37" s="433">
        <f t="shared" ca="1" si="36"/>
        <v>9.2020770030862339E-3</v>
      </c>
      <c r="CM37" s="433">
        <f t="shared" ca="1" si="36"/>
        <v>8.992333426163561E-3</v>
      </c>
      <c r="CN37" s="433">
        <f t="shared" ca="1" si="36"/>
        <v>8.7894915692686201E-3</v>
      </c>
      <c r="CO37" s="433">
        <f t="shared" ca="1" si="36"/>
        <v>8.5935635619401787E-3</v>
      </c>
      <c r="CP37" s="433">
        <f t="shared" ca="1" si="36"/>
        <v>8.4045316235184572E-3</v>
      </c>
      <c r="CQ37" s="463">
        <f t="shared" ca="1" si="36"/>
        <v>8.2223506912238419E-3</v>
      </c>
    </row>
    <row r="38" spans="2:95" outlineLevel="1" x14ac:dyDescent="0.25">
      <c r="B38" s="10"/>
      <c r="C38" s="12"/>
      <c r="D38" s="5"/>
      <c r="E38" s="5" t="s">
        <v>204</v>
      </c>
      <c r="F38" s="12" t="s">
        <v>19</v>
      </c>
      <c r="G38" s="228">
        <f>IF('Customer Sector'!$F$57,G104,IF('Customer Sector'!$F$58,G105,0))</f>
        <v>0</v>
      </c>
      <c r="H38" s="228">
        <f>IF('Customer Sector'!$F$57,H104,IF('Customer Sector'!$F$58,H105,0))</f>
        <v>1.8450257304749131E-4</v>
      </c>
      <c r="I38" s="228">
        <f>IF('Customer Sector'!$F$57,I104,IF('Customer Sector'!$F$58,I105,0))</f>
        <v>3.7135665514529179E-4</v>
      </c>
      <c r="J38" s="228">
        <f>IF('Customer Sector'!$F$57,J104,IF('Customer Sector'!$F$58,J105,0))</f>
        <v>5.6098899654877048E-4</v>
      </c>
      <c r="K38" s="228">
        <f>IF('Customer Sector'!$F$57,K104,IF('Customer Sector'!$F$58,K105,0))</f>
        <v>7.5385148173124435E-4</v>
      </c>
      <c r="L38" s="228">
        <f>IF('Customer Sector'!$F$57,L104,IF('Customer Sector'!$F$58,L105,0))</f>
        <v>9.5042275569002599E-4</v>
      </c>
      <c r="M38" s="228">
        <f>IF('Customer Sector'!$F$57,M104,IF('Customer Sector'!$F$58,M105,0))</f>
        <v>1.1512099488894159E-3</v>
      </c>
      <c r="N38" s="228">
        <f>IF('Customer Sector'!$F$57,N104,IF('Customer Sector'!$F$58,N105,0))</f>
        <v>1.356750506664176E-3</v>
      </c>
      <c r="O38" s="228">
        <f>IF('Customer Sector'!$F$57,O104,IF('Customer Sector'!$F$58,O105,0))</f>
        <v>1.5676141292365214E-3</v>
      </c>
      <c r="P38" s="228">
        <f>IF('Customer Sector'!$F$57,P104,IF('Customer Sector'!$F$58,P105,0))</f>
        <v>1.7844048288480048E-3</v>
      </c>
      <c r="Q38" s="228">
        <f>IF('Customer Sector'!$F$57,Q104,IF('Customer Sector'!$F$58,Q105,0))</f>
        <v>2.0077631108740123E-3</v>
      </c>
      <c r="R38" s="228">
        <f>IF('Customer Sector'!$F$57,R104,IF('Customer Sector'!$F$58,R105,0))</f>
        <v>2.0354674615416096E-3</v>
      </c>
      <c r="S38" s="228">
        <f>IF('Customer Sector'!$F$57,S104,IF('Customer Sector'!$F$58,S105,0))</f>
        <v>2.0653170930980472E-3</v>
      </c>
      <c r="T38" s="228">
        <f>IF('Customer Sector'!$F$57,T104,IF('Customer Sector'!$F$58,T105,0))</f>
        <v>2.0974130897103453E-3</v>
      </c>
      <c r="U38" s="228">
        <f>IF('Customer Sector'!$F$57,U104,IF('Customer Sector'!$F$58,U105,0))</f>
        <v>2.1318617808739459E-3</v>
      </c>
      <c r="V38" s="228">
        <f>IF('Customer Sector'!$F$57,V104,IF('Customer Sector'!$F$58,V105,0))</f>
        <v>2.1687750094481475E-3</v>
      </c>
      <c r="W38" s="228">
        <f>IF('Customer Sector'!$F$57,W104,IF('Customer Sector'!$F$58,W105,0))</f>
        <v>2.2082704133418009E-3</v>
      </c>
      <c r="X38" s="228">
        <f>IF('Customer Sector'!$F$57,X104,IF('Customer Sector'!$F$58,X105,0))</f>
        <v>2.2504717215363116E-3</v>
      </c>
      <c r="Y38" s="228">
        <f>IF('Customer Sector'!$F$57,Y104,IF('Customer Sector'!$F$58,Y105,0))</f>
        <v>2.295509065167962E-3</v>
      </c>
      <c r="Z38" s="228">
        <f>IF('Customer Sector'!$F$57,Z104,IF('Customer Sector'!$F$58,Z105,0))</f>
        <v>2.3435193044289387E-3</v>
      </c>
      <c r="AA38" s="228">
        <f>IF('Customer Sector'!$F$57,AA104,IF('Customer Sector'!$F$58,AA105,0))</f>
        <v>2.3946463720854127E-3</v>
      </c>
      <c r="AB38" s="228">
        <f>IF('Customer Sector'!$F$57,AB104,IF('Customer Sector'!$F$58,AB105,0))</f>
        <v>2.4490416344524844E-3</v>
      </c>
      <c r="AC38" s="228">
        <f>IF('Customer Sector'!$F$57,AC104,IF('Customer Sector'!$F$58,AC105,0))</f>
        <v>2.5068642707091688E-3</v>
      </c>
      <c r="AD38" s="228">
        <f>IF('Customer Sector'!$F$57,AD104,IF('Customer Sector'!$F$58,AD105,0))</f>
        <v>2.5682816714825839E-3</v>
      </c>
      <c r="AE38" s="228">
        <f>IF('Customer Sector'!$F$57,AE104,IF('Customer Sector'!$F$58,AE105,0))</f>
        <v>2.6334698576786909E-3</v>
      </c>
      <c r="AF38" s="428">
        <f>IF('Customer Sector'!$F$57,AF104,IF('Customer Sector'!$F$58,AF105,0))</f>
        <v>2.7026139205876074E-3</v>
      </c>
      <c r="AH38" s="10"/>
      <c r="AI38" s="12"/>
      <c r="AJ38" s="5"/>
      <c r="AK38" s="155" t="s">
        <v>435</v>
      </c>
      <c r="AL38" s="12" t="s">
        <v>19</v>
      </c>
      <c r="AM38" s="426">
        <f>(AM29*AM61*12)/AM58</f>
        <v>2.2831050228310504E-2</v>
      </c>
      <c r="AN38" s="426">
        <f t="shared" ref="AN38:BL38" si="37">(AN29*AN61*12)/AN58</f>
        <v>2.3412566633360204E-2</v>
      </c>
      <c r="AO38" s="426">
        <f t="shared" si="37"/>
        <v>2.3608004106879864E-2</v>
      </c>
      <c r="AP38" s="426">
        <f t="shared" si="37"/>
        <v>2.3827962145672954E-2</v>
      </c>
      <c r="AQ38" s="426">
        <f t="shared" si="37"/>
        <v>2.4073940054106947E-2</v>
      </c>
      <c r="AR38" s="426">
        <f t="shared" si="37"/>
        <v>2.4347570822431854E-2</v>
      </c>
      <c r="AS38" s="426">
        <f t="shared" si="37"/>
        <v>2.4650636388121854E-2</v>
      </c>
      <c r="AT38" s="426">
        <f t="shared" si="37"/>
        <v>2.4985085069674444E-2</v>
      </c>
      <c r="AU38" s="426">
        <f t="shared" si="37"/>
        <v>2.5353051543067114E-2</v>
      </c>
      <c r="AV38" s="426">
        <f t="shared" si="37"/>
        <v>2.5756879804891646E-2</v>
      </c>
      <c r="AW38" s="426">
        <f t="shared" si="37"/>
        <v>2.6199149656982057E-2</v>
      </c>
      <c r="AX38" s="426">
        <f t="shared" si="37"/>
        <v>2.6623539601989571E-2</v>
      </c>
      <c r="AY38" s="426">
        <f t="shared" si="37"/>
        <v>2.7077863781516213E-2</v>
      </c>
      <c r="AZ38" s="426">
        <f t="shared" si="37"/>
        <v>2.7563653361887548E-2</v>
      </c>
      <c r="BA38" s="426">
        <f t="shared" si="37"/>
        <v>2.8082521804642407E-2</v>
      </c>
      <c r="BB38" s="426">
        <f t="shared" si="37"/>
        <v>2.8636169273148052E-2</v>
      </c>
      <c r="BC38" s="426">
        <f t="shared" si="37"/>
        <v>2.922638727442526E-2</v>
      </c>
      <c r="BD38" s="426">
        <f t="shared" si="37"/>
        <v>2.9855063548639378E-2</v>
      </c>
      <c r="BE38" s="426">
        <f t="shared" si="37"/>
        <v>3.0524187219379422E-2</v>
      </c>
      <c r="BF38" s="426">
        <f t="shared" si="37"/>
        <v>3.1235854218549051E-2</v>
      </c>
      <c r="BG38" s="426">
        <f t="shared" si="37"/>
        <v>3.1992273000435369E-2</v>
      </c>
      <c r="BH38" s="426">
        <f t="shared" si="37"/>
        <v>3.2795770560303771E-2</v>
      </c>
      <c r="BI38" s="426">
        <f t="shared" si="37"/>
        <v>3.3648798773693131E-2</v>
      </c>
      <c r="BJ38" s="426">
        <f t="shared" si="37"/>
        <v>3.4553941073456253E-2</v>
      </c>
      <c r="BK38" s="426">
        <f t="shared" si="37"/>
        <v>3.5513919482510439E-2</v>
      </c>
      <c r="BL38" s="427">
        <f t="shared" si="37"/>
        <v>3.6531602021230396E-2</v>
      </c>
      <c r="BN38" s="4" t="s">
        <v>408</v>
      </c>
      <c r="BO38" s="5"/>
      <c r="BP38" s="5"/>
      <c r="BQ38" s="12" t="s">
        <v>18</v>
      </c>
      <c r="BR38" s="199">
        <f t="shared" ref="BR38:CQ38" si="38">G216+AM220</f>
        <v>0</v>
      </c>
      <c r="BS38" s="199">
        <f t="shared" ca="1" si="38"/>
        <v>6600778.4150993377</v>
      </c>
      <c r="BT38" s="199">
        <f t="shared" ca="1" si="38"/>
        <v>-13615270.38400583</v>
      </c>
      <c r="BU38" s="199">
        <f t="shared" ca="1" si="38"/>
        <v>-33631478.314334869</v>
      </c>
      <c r="BV38" s="199">
        <f t="shared" ca="1" si="38"/>
        <v>-53542224.155035891</v>
      </c>
      <c r="BW38" s="199">
        <f t="shared" ca="1" si="38"/>
        <v>-73437368.638096228</v>
      </c>
      <c r="BX38" s="199">
        <f t="shared" ca="1" si="38"/>
        <v>-93402855.582585067</v>
      </c>
      <c r="BY38" s="199">
        <f t="shared" ca="1" si="38"/>
        <v>-113521275.16305235</v>
      </c>
      <c r="BZ38" s="199">
        <f t="shared" ca="1" si="38"/>
        <v>-133872393.30009946</v>
      </c>
      <c r="CA38" s="199">
        <f t="shared" ca="1" si="38"/>
        <v>-154533650.94451457</v>
      </c>
      <c r="CB38" s="199">
        <f t="shared" ca="1" si="38"/>
        <v>-175580636.84448761</v>
      </c>
      <c r="CC38" s="199">
        <f t="shared" ca="1" si="38"/>
        <v>-181532900.34499985</v>
      </c>
      <c r="CD38" s="199">
        <f t="shared" ca="1" si="38"/>
        <v>-179474089.38670743</v>
      </c>
      <c r="CE38" s="199">
        <f t="shared" ca="1" si="38"/>
        <v>-177529043.97662795</v>
      </c>
      <c r="CF38" s="199">
        <f t="shared" ca="1" si="38"/>
        <v>-175689951.53178912</v>
      </c>
      <c r="CG38" s="199">
        <f t="shared" ca="1" si="38"/>
        <v>-173949548.78984308</v>
      </c>
      <c r="CH38" s="199">
        <f t="shared" ca="1" si="38"/>
        <v>-172301083.00959456</v>
      </c>
      <c r="CI38" s="199">
        <f t="shared" ca="1" si="38"/>
        <v>-170738275.91422144</v>
      </c>
      <c r="CJ38" s="199">
        <f t="shared" ca="1" si="38"/>
        <v>-169255290.18339255</v>
      </c>
      <c r="CK38" s="199">
        <f t="shared" ca="1" si="38"/>
        <v>-167846698.31422067</v>
      </c>
      <c r="CL38" s="199">
        <f t="shared" ca="1" si="38"/>
        <v>-166507453.68363711</v>
      </c>
      <c r="CM38" s="199">
        <f t="shared" ca="1" si="38"/>
        <v>-165232863.65666193</v>
      </c>
      <c r="CN38" s="199">
        <f t="shared" ca="1" si="38"/>
        <v>-164018564.59598139</v>
      </c>
      <c r="CO38" s="199">
        <f t="shared" ca="1" si="38"/>
        <v>-162860498.63849902</v>
      </c>
      <c r="CP38" s="199">
        <f t="shared" ca="1" si="38"/>
        <v>-161754892.11394927</v>
      </c>
      <c r="CQ38" s="200">
        <f t="shared" ca="1" si="38"/>
        <v>-160698235.48956129</v>
      </c>
    </row>
    <row r="39" spans="2:95" outlineLevel="1" x14ac:dyDescent="0.25">
      <c r="B39" s="10"/>
      <c r="C39" s="408"/>
      <c r="D39" s="411"/>
      <c r="E39" s="411"/>
      <c r="F39" s="408"/>
      <c r="G39" s="412"/>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4"/>
      <c r="AH39" s="10"/>
      <c r="AI39" s="12"/>
      <c r="AJ39" s="5"/>
      <c r="AK39" s="155" t="s">
        <v>356</v>
      </c>
      <c r="AL39" s="12" t="s">
        <v>19</v>
      </c>
      <c r="AM39" s="426">
        <f t="shared" ref="AM39:BL39" si="39">AM38+AM37</f>
        <v>4.5662100456621009E-2</v>
      </c>
      <c r="AN39" s="426">
        <f t="shared" si="39"/>
        <v>4.6846101058907755E-2</v>
      </c>
      <c r="AO39" s="426">
        <f t="shared" si="39"/>
        <v>4.7253068392075728E-2</v>
      </c>
      <c r="AP39" s="426">
        <f t="shared" si="39"/>
        <v>4.7703726064632149E-2</v>
      </c>
      <c r="AQ39" s="426">
        <f t="shared" si="39"/>
        <v>4.8200525690678009E-2</v>
      </c>
      <c r="AR39" s="426">
        <f t="shared" si="39"/>
        <v>4.8746103855395524E-2</v>
      </c>
      <c r="AS39" s="426">
        <f t="shared" si="39"/>
        <v>4.9343300123938422E-2</v>
      </c>
      <c r="AT39" s="426">
        <f t="shared" si="39"/>
        <v>4.999517737012122E-2</v>
      </c>
      <c r="AU39" s="426">
        <f t="shared" si="39"/>
        <v>5.0705044802924967E-2</v>
      </c>
      <c r="AV39" s="426">
        <f t="shared" si="39"/>
        <v>5.1476484143065195E-2</v>
      </c>
      <c r="AW39" s="426">
        <f t="shared" si="39"/>
        <v>5.2313379493094628E-2</v>
      </c>
      <c r="AX39" s="426">
        <f t="shared" si="39"/>
        <v>5.316078379960483E-2</v>
      </c>
      <c r="AY39" s="426">
        <f t="shared" si="39"/>
        <v>5.4067959548728124E-2</v>
      </c>
      <c r="AZ39" s="426">
        <f t="shared" si="39"/>
        <v>5.5037964110116036E-2</v>
      </c>
      <c r="BA39" s="426">
        <f t="shared" si="39"/>
        <v>5.6074019177101461E-2</v>
      </c>
      <c r="BB39" s="426">
        <f t="shared" si="39"/>
        <v>5.7179519565645882E-2</v>
      </c>
      <c r="BC39" s="426">
        <f t="shared" si="39"/>
        <v>5.835804248294376E-2</v>
      </c>
      <c r="BD39" s="426">
        <f t="shared" si="39"/>
        <v>5.9613357290556356E-2</v>
      </c>
      <c r="BE39" s="426">
        <f t="shared" si="39"/>
        <v>6.0949435788276142E-2</v>
      </c>
      <c r="BF39" s="426">
        <f t="shared" si="39"/>
        <v>6.2370463046324987E-2</v>
      </c>
      <c r="BG39" s="426">
        <f t="shared" si="39"/>
        <v>6.3880848814970637E-2</v>
      </c>
      <c r="BH39" s="426">
        <f t="shared" si="39"/>
        <v>6.5485239542208196E-2</v>
      </c>
      <c r="BI39" s="426">
        <f t="shared" si="39"/>
        <v>6.7188531031802862E-2</v>
      </c>
      <c r="BJ39" s="426">
        <f t="shared" si="39"/>
        <v>6.8995881775728296E-2</v>
      </c>
      <c r="BK39" s="426">
        <f t="shared" si="39"/>
        <v>7.0912726996872538E-2</v>
      </c>
      <c r="BL39" s="427">
        <f t="shared" si="39"/>
        <v>7.2944793439813943E-2</v>
      </c>
      <c r="BN39" s="4"/>
      <c r="BO39" s="5" t="s">
        <v>407</v>
      </c>
      <c r="BP39" s="5"/>
      <c r="BQ39" s="12" t="s">
        <v>19</v>
      </c>
      <c r="BR39" s="199">
        <f ca="1">G217+AM221</f>
        <v>-3387925764.5407987</v>
      </c>
      <c r="BS39" s="465"/>
      <c r="BT39" s="465"/>
      <c r="BU39" s="465"/>
      <c r="BV39" s="465"/>
      <c r="BW39" s="465"/>
      <c r="BX39" s="465"/>
      <c r="BY39" s="465"/>
      <c r="BZ39" s="465"/>
      <c r="CA39" s="465"/>
      <c r="CB39" s="465"/>
      <c r="CC39" s="465"/>
      <c r="CD39" s="465"/>
      <c r="CE39" s="465"/>
      <c r="CF39" s="465"/>
      <c r="CG39" s="465"/>
      <c r="CH39" s="465"/>
      <c r="CI39" s="465"/>
      <c r="CJ39" s="465"/>
      <c r="CK39" s="465"/>
      <c r="CL39" s="465"/>
      <c r="CM39" s="465"/>
      <c r="CN39" s="465"/>
      <c r="CO39" s="465"/>
      <c r="CP39" s="465"/>
      <c r="CQ39" s="466"/>
    </row>
    <row r="40" spans="2:95" outlineLevel="1" x14ac:dyDescent="0.25">
      <c r="B40" s="10"/>
      <c r="C40" s="408"/>
      <c r="D40" s="411"/>
      <c r="E40" s="411"/>
      <c r="F40" s="408"/>
      <c r="G40" s="412"/>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4"/>
      <c r="AH40" s="10"/>
      <c r="AI40" s="12"/>
      <c r="AJ40" s="5"/>
      <c r="AK40" s="5" t="s">
        <v>204</v>
      </c>
      <c r="AL40" s="12" t="s">
        <v>19</v>
      </c>
      <c r="AM40" s="158">
        <f>IF('Customer Sector'!$L$57,AM104,IF('Customer Sector'!$L$58,AM105,0))</f>
        <v>0</v>
      </c>
      <c r="AN40" s="158">
        <f>IF('Customer Sector'!$L$57,AN104,IF('Customer Sector'!$L$58,AN105,0))</f>
        <v>1.0122192235390068E-4</v>
      </c>
      <c r="AO40" s="158">
        <f>IF('Customer Sector'!$L$57,AO104,IF('Customer Sector'!$L$58,AO105,0))</f>
        <v>2.1082523426185843E-4</v>
      </c>
      <c r="AP40" s="158">
        <f>IF('Customer Sector'!$L$57,AP104,IF('Customer Sector'!$L$58,AP105,0))</f>
        <v>3.2973665931638048E-4</v>
      </c>
      <c r="AQ40" s="158">
        <f>IF('Customer Sector'!$L$57,AQ104,IF('Customer Sector'!$L$58,AQ105,0))</f>
        <v>4.5899725713554603E-4</v>
      </c>
      <c r="AR40" s="158">
        <f>IF('Customer Sector'!$L$57,AR104,IF('Customer Sector'!$L$58,AR105,0))</f>
        <v>5.9977807990769475E-4</v>
      </c>
      <c r="AS40" s="158">
        <f>IF('Customer Sector'!$L$57,AS104,IF('Customer Sector'!$L$58,AS105,0))</f>
        <v>7.5339822168796438E-4</v>
      </c>
      <c r="AT40" s="158">
        <f>IF('Customer Sector'!$L$57,AT104,IF('Customer Sector'!$L$58,AT105,0))</f>
        <v>9.2134567392461474E-4</v>
      </c>
      <c r="AU40" s="158">
        <f>IF('Customer Sector'!$L$57,AU104,IF('Customer Sector'!$L$58,AU105,0))</f>
        <v>1.1053014821985415E-3</v>
      </c>
      <c r="AV40" s="158">
        <f>IF('Customer Sector'!$L$57,AV104,IF('Customer Sector'!$L$58,AV105,0))</f>
        <v>1.3071677990093937E-3</v>
      </c>
      <c r="AW40" s="158">
        <f>IF('Customer Sector'!$L$57,AW104,IF('Customer Sector'!$L$58,AW105,0))</f>
        <v>1.5291005503282721E-3</v>
      </c>
      <c r="AX40" s="158">
        <f>IF('Customer Sector'!$L$57,AX104,IF('Customer Sector'!$L$58,AX105,0))</f>
        <v>1.5538698618120825E-3</v>
      </c>
      <c r="AY40" s="158">
        <f>IF('Customer Sector'!$L$57,AY104,IF('Customer Sector'!$L$58,AY105,0))</f>
        <v>1.5803862702466007E-3</v>
      </c>
      <c r="AZ40" s="158">
        <f>IF('Customer Sector'!$L$57,AZ104,IF('Customer Sector'!$L$58,AZ105,0))</f>
        <v>1.6087391414052086E-3</v>
      </c>
      <c r="BA40" s="158">
        <f>IF('Customer Sector'!$L$57,BA104,IF('Customer Sector'!$L$58,BA105,0))</f>
        <v>1.6390226441811442E-3</v>
      </c>
      <c r="BB40" s="158">
        <f>IF('Customer Sector'!$L$57,BB104,IF('Customer Sector'!$L$58,BB105,0))</f>
        <v>1.6713360077774417E-3</v>
      </c>
      <c r="BC40" s="158">
        <f>IF('Customer Sector'!$L$57,BC104,IF('Customer Sector'!$L$58,BC105,0))</f>
        <v>1.7057837926247703E-3</v>
      </c>
      <c r="BD40" s="158">
        <f>IF('Customer Sector'!$L$57,BD104,IF('Customer Sector'!$L$58,BD105,0))</f>
        <v>1.742476175754195E-3</v>
      </c>
      <c r="BE40" s="158">
        <f>IF('Customer Sector'!$L$57,BE104,IF('Customer Sector'!$L$58,BE105,0))</f>
        <v>1.7815292513907004E-3</v>
      </c>
      <c r="BF40" s="158">
        <f>IF('Customer Sector'!$L$57,BF104,IF('Customer Sector'!$L$58,BF105,0))</f>
        <v>1.8230653475742949E-3</v>
      </c>
      <c r="BG40" s="158">
        <f>IF('Customer Sector'!$L$57,BG104,IF('Customer Sector'!$L$58,BG105,0))</f>
        <v>1.8672133596588276E-3</v>
      </c>
      <c r="BH40" s="158">
        <f>IF('Customer Sector'!$L$57,BH104,IF('Customer Sector'!$L$58,BH105,0))</f>
        <v>1.914109101584359E-3</v>
      </c>
      <c r="BI40" s="158">
        <f>IF('Customer Sector'!$L$57,BI104,IF('Customer Sector'!$L$58,BI105,0))</f>
        <v>1.9638956758669924E-3</v>
      </c>
      <c r="BJ40" s="158">
        <f>IF('Customer Sector'!$L$57,BJ104,IF('Customer Sector'!$L$58,BJ105,0))</f>
        <v>2.0167238633010979E-3</v>
      </c>
      <c r="BK40" s="158">
        <f>IF('Customer Sector'!$L$57,BK104,IF('Customer Sector'!$L$58,BK105,0))</f>
        <v>2.0727525334223386E-3</v>
      </c>
      <c r="BL40" s="159">
        <f>IF('Customer Sector'!$L$57,BL104,IF('Customer Sector'!$L$58,BL105,0))</f>
        <v>2.13214907683654E-3</v>
      </c>
      <c r="BN40" s="10" t="s">
        <v>56</v>
      </c>
      <c r="BO40" s="11"/>
      <c r="BP40" s="11"/>
      <c r="BQ40" s="446" t="s">
        <v>372</v>
      </c>
      <c r="BR40" s="453">
        <f>SUM(BR41:BR42)</f>
        <v>2243322.3198271911</v>
      </c>
      <c r="BS40" s="453">
        <f t="shared" ref="BS40:CQ40" si="40">SUM(BS41:BS42)</f>
        <v>2264606.3605016693</v>
      </c>
      <c r="BT40" s="453">
        <f t="shared" si="40"/>
        <v>2286105.283992114</v>
      </c>
      <c r="BU40" s="453">
        <f t="shared" si="40"/>
        <v>2307821.2790343901</v>
      </c>
      <c r="BV40" s="453">
        <f t="shared" si="40"/>
        <v>2329756.5566852186</v>
      </c>
      <c r="BW40" s="453">
        <f t="shared" si="40"/>
        <v>2351913.3505498385</v>
      </c>
      <c r="BX40" s="453">
        <f t="shared" si="40"/>
        <v>2374293.9170119972</v>
      </c>
      <c r="BY40" s="453">
        <f t="shared" si="40"/>
        <v>2396900.5354662859</v>
      </c>
      <c r="BZ40" s="453">
        <f t="shared" si="40"/>
        <v>2419735.5085528442</v>
      </c>
      <c r="CA40" s="453">
        <f t="shared" si="40"/>
        <v>2442801.1623944584</v>
      </c>
      <c r="CB40" s="453">
        <f t="shared" si="40"/>
        <v>2466099.8468360789</v>
      </c>
      <c r="CC40" s="453">
        <f t="shared" si="40"/>
        <v>2489633.9356867797</v>
      </c>
      <c r="CD40" s="453">
        <f t="shared" si="40"/>
        <v>2513405.8269641874</v>
      </c>
      <c r="CE40" s="453">
        <f t="shared" si="40"/>
        <v>2537417.9431414022</v>
      </c>
      <c r="CF40" s="453">
        <f t="shared" si="40"/>
        <v>2561672.7313964367</v>
      </c>
      <c r="CG40" s="453">
        <f t="shared" si="40"/>
        <v>2586172.6638642023</v>
      </c>
      <c r="CH40" s="453">
        <f t="shared" si="40"/>
        <v>2610920.2378910603</v>
      </c>
      <c r="CI40" s="453">
        <f t="shared" si="40"/>
        <v>2635917.9762919764</v>
      </c>
      <c r="CJ40" s="453">
        <f t="shared" si="40"/>
        <v>2661168.4276102921</v>
      </c>
      <c r="CK40" s="453">
        <f t="shared" si="40"/>
        <v>2686674.1663801479</v>
      </c>
      <c r="CL40" s="453">
        <f t="shared" si="40"/>
        <v>2712437.7933915854</v>
      </c>
      <c r="CM40" s="453">
        <f t="shared" si="40"/>
        <v>2738461.9359583501</v>
      </c>
      <c r="CN40" s="453">
        <f t="shared" si="40"/>
        <v>2764749.2481884258</v>
      </c>
      <c r="CO40" s="453">
        <f t="shared" si="40"/>
        <v>2791302.4112573336</v>
      </c>
      <c r="CP40" s="453">
        <f t="shared" si="40"/>
        <v>2818124.1336842109</v>
      </c>
      <c r="CQ40" s="454">
        <f t="shared" si="40"/>
        <v>2845217.1516107125</v>
      </c>
    </row>
    <row r="41" spans="2:95" outlineLevel="1" x14ac:dyDescent="0.25">
      <c r="B41" s="10"/>
      <c r="C41" s="51" t="s">
        <v>188</v>
      </c>
      <c r="D41" s="51"/>
      <c r="E41" s="51"/>
      <c r="F41" s="52" t="s">
        <v>8</v>
      </c>
      <c r="G41" s="53">
        <f>SUM(G42,G43)</f>
        <v>0.12</v>
      </c>
      <c r="H41" s="53">
        <f>SUM(H42,H43)</f>
        <v>0.12447809343495758</v>
      </c>
      <c r="I41" s="53">
        <f t="shared" ref="I41:AF41" si="41">SUM(I42,I43)</f>
        <v>0.12772751583659603</v>
      </c>
      <c r="J41" s="53">
        <f t="shared" si="41"/>
        <v>0.13121701373783376</v>
      </c>
      <c r="K41" s="53">
        <f t="shared" si="41"/>
        <v>0.13496087711330118</v>
      </c>
      <c r="L41" s="53">
        <f t="shared" si="41"/>
        <v>0.13897428828856304</v>
      </c>
      <c r="M41" s="53">
        <f t="shared" si="41"/>
        <v>0.14327337784429534</v>
      </c>
      <c r="N41" s="53">
        <f t="shared" si="41"/>
        <v>0.14787528404857009</v>
      </c>
      <c r="O41" s="53">
        <f t="shared" si="41"/>
        <v>0.15279821604078836</v>
      </c>
      <c r="P41" s="53">
        <f t="shared" si="41"/>
        <v>0.1580615210050198</v>
      </c>
      <c r="Q41" s="53">
        <f t="shared" si="41"/>
        <v>0.16368575558563672</v>
      </c>
      <c r="R41" s="53">
        <f t="shared" si="41"/>
        <v>0.16969276181423315</v>
      </c>
      <c r="S41" s="53">
        <f t="shared" si="41"/>
        <v>0.17610574783395577</v>
      </c>
      <c r="T41" s="53">
        <f t="shared" si="41"/>
        <v>0.18294937372561296</v>
      </c>
      <c r="U41" s="53">
        <f t="shared" si="41"/>
        <v>0.19024984275934054</v>
      </c>
      <c r="V41" s="53">
        <f t="shared" si="41"/>
        <v>0.1980349984162646</v>
      </c>
      <c r="W41" s="53">
        <f t="shared" si="41"/>
        <v>0.20633442754659315</v>
      </c>
      <c r="X41" s="53">
        <f t="shared" si="41"/>
        <v>0.21517957005397592</v>
      </c>
      <c r="Y41" s="53">
        <f t="shared" si="41"/>
        <v>0.22460383552088622</v>
      </c>
      <c r="Z41" s="53">
        <f t="shared" si="41"/>
        <v>0.23464272721629492</v>
      </c>
      <c r="AA41" s="53">
        <f t="shared" si="41"/>
        <v>0.2453339739551319</v>
      </c>
      <c r="AB41" s="53">
        <f t="shared" si="41"/>
        <v>0.25671767030906778</v>
      </c>
      <c r="AC41" s="53">
        <f t="shared" si="41"/>
        <v>0.26883642570012295</v>
      </c>
      <c r="AD41" s="53">
        <f t="shared" si="41"/>
        <v>0.28173552294263216</v>
      </c>
      <c r="AE41" s="53">
        <f t="shared" si="41"/>
        <v>0.29546308683531319</v>
      </c>
      <c r="AF41" s="54">
        <f t="shared" si="41"/>
        <v>0.31007026344371968</v>
      </c>
      <c r="AH41" s="10"/>
      <c r="AI41" s="51" t="s">
        <v>188</v>
      </c>
      <c r="AJ41" s="51"/>
      <c r="AK41" s="51"/>
      <c r="AL41" s="52" t="s">
        <v>8</v>
      </c>
      <c r="AM41" s="53">
        <f>SUM(AM42,AM45)</f>
        <v>8.4662100456621009E-2</v>
      </c>
      <c r="AN41" s="53">
        <f t="shared" ref="AN41:BL41" si="42">SUM(AN42,AN45)</f>
        <v>8.8402068851095097E-2</v>
      </c>
      <c r="AO41" s="53">
        <f t="shared" si="42"/>
        <v>9.1524903570391711E-2</v>
      </c>
      <c r="AP41" s="53">
        <f t="shared" si="42"/>
        <v>9.4861563212918387E-2</v>
      </c>
      <c r="AQ41" s="53">
        <f t="shared" si="42"/>
        <v>9.8425358947517097E-2</v>
      </c>
      <c r="AR41" s="53">
        <f t="shared" si="42"/>
        <v>0.10223044593913669</v>
      </c>
      <c r="AS41" s="53">
        <f t="shared" si="42"/>
        <v>0.10629187703660108</v>
      </c>
      <c r="AT41" s="53">
        <f t="shared" si="42"/>
        <v>0.11062565988758441</v>
      </c>
      <c r="AU41" s="53">
        <f t="shared" si="42"/>
        <v>0.11524881770004149</v>
      </c>
      <c r="AV41" s="53">
        <f t="shared" si="42"/>
        <v>0.12017945388339404</v>
      </c>
      <c r="AW41" s="53">
        <f t="shared" si="42"/>
        <v>0.12543682081773014</v>
      </c>
      <c r="AX41" s="53">
        <f t="shared" si="42"/>
        <v>0.13104139301519332</v>
      </c>
      <c r="AY41" s="53">
        <f t="shared" si="42"/>
        <v>0.13701494495468422</v>
      </c>
      <c r="AZ41" s="53">
        <f t="shared" si="42"/>
        <v>0.14338063388903427</v>
      </c>
      <c r="BA41" s="53">
        <f t="shared" si="42"/>
        <v>0.15016308794301295</v>
      </c>
      <c r="BB41" s="53">
        <f t="shared" si="42"/>
        <v>0.15738849984096664</v>
      </c>
      <c r="BC41" s="53">
        <f t="shared" si="42"/>
        <v>0.1650847266246461</v>
      </c>
      <c r="BD41" s="53">
        <f t="shared" si="42"/>
        <v>0.17328139574493764</v>
      </c>
      <c r="BE41" s="53">
        <f t="shared" si="42"/>
        <v>0.18201001793586885</v>
      </c>
      <c r="BF41" s="53">
        <f t="shared" si="42"/>
        <v>0.19130410730550218</v>
      </c>
      <c r="BG41" s="53">
        <f t="shared" si="42"/>
        <v>0.20119930910626763</v>
      </c>
      <c r="BH41" s="53">
        <f t="shared" si="42"/>
        <v>0.21173353567702374</v>
      </c>
      <c r="BI41" s="53">
        <f t="shared" si="42"/>
        <v>0.22294711108079329</v>
      </c>
      <c r="BJ41" s="53">
        <f t="shared" si="42"/>
        <v>0.2348829249958152</v>
      </c>
      <c r="BK41" s="53">
        <f t="shared" si="42"/>
        <v>0.24758659645342795</v>
      </c>
      <c r="BL41" s="54">
        <f t="shared" si="42"/>
        <v>0.26110664805447659</v>
      </c>
      <c r="BN41" s="10"/>
      <c r="BO41" s="11" t="s">
        <v>461</v>
      </c>
      <c r="BP41" s="11"/>
      <c r="BQ41" s="446" t="s">
        <v>19</v>
      </c>
      <c r="BR41" s="453">
        <f t="shared" ref="BR41:CQ41" si="43">G189</f>
        <v>2062040</v>
      </c>
      <c r="BS41" s="453">
        <f t="shared" si="43"/>
        <v>2083072.808</v>
      </c>
      <c r="BT41" s="453">
        <f t="shared" si="43"/>
        <v>2104320.1506416001</v>
      </c>
      <c r="BU41" s="453">
        <f t="shared" si="43"/>
        <v>2125784.2161781443</v>
      </c>
      <c r="BV41" s="453">
        <f t="shared" si="43"/>
        <v>2147467.2151831612</v>
      </c>
      <c r="BW41" s="453">
        <f t="shared" si="43"/>
        <v>2169371.3807780296</v>
      </c>
      <c r="BX41" s="453">
        <f t="shared" si="43"/>
        <v>2191498.9688619655</v>
      </c>
      <c r="BY41" s="453">
        <f t="shared" si="43"/>
        <v>2213852.2583443574</v>
      </c>
      <c r="BZ41" s="453">
        <f t="shared" si="43"/>
        <v>2236433.5513794697</v>
      </c>
      <c r="CA41" s="453">
        <f t="shared" si="43"/>
        <v>2259245.1736035403</v>
      </c>
      <c r="CB41" s="453">
        <f t="shared" si="43"/>
        <v>2282289.4743742961</v>
      </c>
      <c r="CC41" s="453">
        <f t="shared" si="43"/>
        <v>2305568.8270129138</v>
      </c>
      <c r="CD41" s="453">
        <f t="shared" si="43"/>
        <v>2329085.6290484453</v>
      </c>
      <c r="CE41" s="453">
        <f t="shared" si="43"/>
        <v>2352842.3024647394</v>
      </c>
      <c r="CF41" s="453">
        <f t="shared" si="43"/>
        <v>2376841.2939498797</v>
      </c>
      <c r="CG41" s="453">
        <f t="shared" si="43"/>
        <v>2401085.0751481685</v>
      </c>
      <c r="CH41" s="453">
        <f t="shared" si="43"/>
        <v>2425576.1429146798</v>
      </c>
      <c r="CI41" s="453">
        <f t="shared" si="43"/>
        <v>2450317.0195724093</v>
      </c>
      <c r="CJ41" s="453">
        <f t="shared" si="43"/>
        <v>2475310.2531720479</v>
      </c>
      <c r="CK41" s="453">
        <f t="shared" si="43"/>
        <v>2500558.4177544028</v>
      </c>
      <c r="CL41" s="453">
        <f t="shared" si="43"/>
        <v>2526064.1136154979</v>
      </c>
      <c r="CM41" s="453">
        <f t="shared" si="43"/>
        <v>2551829.9675743761</v>
      </c>
      <c r="CN41" s="453">
        <f t="shared" si="43"/>
        <v>2577858.6332436348</v>
      </c>
      <c r="CO41" s="453">
        <f t="shared" si="43"/>
        <v>2604152.7913027201</v>
      </c>
      <c r="CP41" s="453">
        <f t="shared" si="43"/>
        <v>2630715.149774008</v>
      </c>
      <c r="CQ41" s="454">
        <f t="shared" si="43"/>
        <v>2657548.444301703</v>
      </c>
    </row>
    <row r="42" spans="2:95" outlineLevel="1" x14ac:dyDescent="0.25">
      <c r="B42" s="10"/>
      <c r="C42" s="51"/>
      <c r="D42" s="51" t="s">
        <v>142</v>
      </c>
      <c r="E42" s="51"/>
      <c r="F42" s="52" t="s">
        <v>19</v>
      </c>
      <c r="G42" s="53">
        <f>'Customer Sector'!F41</f>
        <v>3.9E-2</v>
      </c>
      <c r="H42" s="53">
        <f>G42*(1+'Customer Sector'!$F$42)</f>
        <v>4.1534999999999996E-2</v>
      </c>
      <c r="I42" s="53">
        <f>H42*(1+'Customer Sector'!$F$42)</f>
        <v>4.423477499999999E-2</v>
      </c>
      <c r="J42" s="53">
        <f>I42*(1+'Customer Sector'!$F$42)</f>
        <v>4.7110035374999984E-2</v>
      </c>
      <c r="K42" s="53">
        <f>J42*(1+'Customer Sector'!$F$42)</f>
        <v>5.017218767437498E-2</v>
      </c>
      <c r="L42" s="53">
        <f>K42*(1+'Customer Sector'!$F$42)</f>
        <v>5.3433379873209348E-2</v>
      </c>
      <c r="M42" s="53">
        <f>L42*(1+'Customer Sector'!$F$42)</f>
        <v>5.6906549564967955E-2</v>
      </c>
      <c r="N42" s="53">
        <f>M42*(1+'Customer Sector'!$F$42)</f>
        <v>6.0605475286690871E-2</v>
      </c>
      <c r="O42" s="53">
        <f>N42*(1+'Customer Sector'!$F$42)</f>
        <v>6.4544831180325779E-2</v>
      </c>
      <c r="P42" s="53">
        <f>O42*(1+'Customer Sector'!$F$42)</f>
        <v>6.8740245207046954E-2</v>
      </c>
      <c r="Q42" s="53">
        <f>P42*(1+'Customer Sector'!$F$42)</f>
        <v>7.3208361145504997E-2</v>
      </c>
      <c r="R42" s="53">
        <f>Q42*(1+'Customer Sector'!$F$42)</f>
        <v>7.7966904619962821E-2</v>
      </c>
      <c r="S42" s="53">
        <f>R42*(1+'Customer Sector'!$F$42)</f>
        <v>8.3034753420260399E-2</v>
      </c>
      <c r="T42" s="53">
        <f>S42*(1+'Customer Sector'!$F$42)</f>
        <v>8.8432012392577322E-2</v>
      </c>
      <c r="U42" s="53">
        <f>T42*(1+'Customer Sector'!$F$42)</f>
        <v>9.4180093198094839E-2</v>
      </c>
      <c r="V42" s="53">
        <f>U42*(1+'Customer Sector'!$F$42)</f>
        <v>0.10030179925597099</v>
      </c>
      <c r="W42" s="53">
        <f>V42*(1+'Customer Sector'!$F$42)</f>
        <v>0.1068214162076091</v>
      </c>
      <c r="X42" s="53">
        <f>W42*(1+'Customer Sector'!$F$42)</f>
        <v>0.11376480826110369</v>
      </c>
      <c r="Y42" s="53">
        <f>X42*(1+'Customer Sector'!$F$42)</f>
        <v>0.12115952079807542</v>
      </c>
      <c r="Z42" s="53">
        <f>Y42*(1+'Customer Sector'!$F$42)</f>
        <v>0.1290348896499503</v>
      </c>
      <c r="AA42" s="53">
        <f>Z42*(1+'Customer Sector'!$F$42)</f>
        <v>0.13742215747719708</v>
      </c>
      <c r="AB42" s="53">
        <f>AA42*(1+'Customer Sector'!$F$42)</f>
        <v>0.14635459771321488</v>
      </c>
      <c r="AC42" s="53">
        <f>AB42*(1+'Customer Sector'!$F$42)</f>
        <v>0.15586764656457383</v>
      </c>
      <c r="AD42" s="53">
        <f>AC42*(1+'Customer Sector'!$F$42)</f>
        <v>0.16599904359127113</v>
      </c>
      <c r="AE42" s="53">
        <f>AD42*(1+'Customer Sector'!$F$42)</f>
        <v>0.17678898142470376</v>
      </c>
      <c r="AF42" s="54">
        <f>AE42*(1+'Customer Sector'!$F$42)</f>
        <v>0.18828026521730948</v>
      </c>
      <c r="AH42" s="10"/>
      <c r="AI42" s="51"/>
      <c r="AJ42" s="51" t="s">
        <v>142</v>
      </c>
      <c r="AK42" s="51"/>
      <c r="AL42" s="52" t="s">
        <v>19</v>
      </c>
      <c r="AM42" s="53">
        <f>'Customer Sector'!L41</f>
        <v>3.9E-2</v>
      </c>
      <c r="AN42" s="53">
        <f>AM42*(1+'Customer Sector'!$L$42)</f>
        <v>4.1534999999999996E-2</v>
      </c>
      <c r="AO42" s="53">
        <f>AN42*(1+'Customer Sector'!$L$42)</f>
        <v>4.423477499999999E-2</v>
      </c>
      <c r="AP42" s="53">
        <f>AO42*(1+'Customer Sector'!$L$42)</f>
        <v>4.7110035374999984E-2</v>
      </c>
      <c r="AQ42" s="53">
        <f>AP42*(1+'Customer Sector'!$L$42)</f>
        <v>5.017218767437498E-2</v>
      </c>
      <c r="AR42" s="53">
        <f>AQ42*(1+'Customer Sector'!$L$42)</f>
        <v>5.3433379873209348E-2</v>
      </c>
      <c r="AS42" s="53">
        <f>AR42*(1+'Customer Sector'!$L$42)</f>
        <v>5.6906549564967955E-2</v>
      </c>
      <c r="AT42" s="53">
        <f>AS42*(1+'Customer Sector'!$L$42)</f>
        <v>6.0605475286690871E-2</v>
      </c>
      <c r="AU42" s="53">
        <f>AT42*(1+'Customer Sector'!$L$42)</f>
        <v>6.4544831180325779E-2</v>
      </c>
      <c r="AV42" s="53">
        <f>AU42*(1+'Customer Sector'!$L$42)</f>
        <v>6.8740245207046954E-2</v>
      </c>
      <c r="AW42" s="53">
        <f>AV42*(1+'Customer Sector'!$L$42)</f>
        <v>7.3208361145504997E-2</v>
      </c>
      <c r="AX42" s="53">
        <f>AW42*(1+'Customer Sector'!$L$42)</f>
        <v>7.7966904619962821E-2</v>
      </c>
      <c r="AY42" s="53">
        <f>AX42*(1+'Customer Sector'!$L$42)</f>
        <v>8.3034753420260399E-2</v>
      </c>
      <c r="AZ42" s="53">
        <f>AY42*(1+'Customer Sector'!$L$42)</f>
        <v>8.8432012392577322E-2</v>
      </c>
      <c r="BA42" s="53">
        <f>AZ42*(1+'Customer Sector'!$L$42)</f>
        <v>9.4180093198094839E-2</v>
      </c>
      <c r="BB42" s="53">
        <f>BA42*(1+'Customer Sector'!$L$42)</f>
        <v>0.10030179925597099</v>
      </c>
      <c r="BC42" s="53">
        <f>BB42*(1+'Customer Sector'!$L$42)</f>
        <v>0.1068214162076091</v>
      </c>
      <c r="BD42" s="53">
        <f>BC42*(1+'Customer Sector'!$L$42)</f>
        <v>0.11376480826110369</v>
      </c>
      <c r="BE42" s="53">
        <f>BD42*(1+'Customer Sector'!$L$42)</f>
        <v>0.12115952079807542</v>
      </c>
      <c r="BF42" s="53">
        <f>BE42*(1+'Customer Sector'!$L$42)</f>
        <v>0.1290348896499503</v>
      </c>
      <c r="BG42" s="53">
        <f>BF42*(1+'Customer Sector'!$L$42)</f>
        <v>0.13742215747719708</v>
      </c>
      <c r="BH42" s="53">
        <f>BG42*(1+'Customer Sector'!$L$42)</f>
        <v>0.14635459771321488</v>
      </c>
      <c r="BI42" s="53">
        <f>BH42*(1+'Customer Sector'!$L$42)</f>
        <v>0.15586764656457383</v>
      </c>
      <c r="BJ42" s="53">
        <f>BI42*(1+'Customer Sector'!$L$42)</f>
        <v>0.16599904359127113</v>
      </c>
      <c r="BK42" s="53">
        <f>BJ42*(1+'Customer Sector'!$L$42)</f>
        <v>0.17678898142470376</v>
      </c>
      <c r="BL42" s="54">
        <f>BK42*(1+'Customer Sector'!$L$42)</f>
        <v>0.18828026521730948</v>
      </c>
      <c r="BN42" s="10"/>
      <c r="BO42" s="11" t="s">
        <v>462</v>
      </c>
      <c r="BP42" s="11"/>
      <c r="BQ42" s="446" t="s">
        <v>19</v>
      </c>
      <c r="BR42" s="453">
        <f t="shared" ref="BR42:CQ42" si="44">AM191</f>
        <v>181282.31982719121</v>
      </c>
      <c r="BS42" s="453">
        <f t="shared" si="44"/>
        <v>181533.55250166962</v>
      </c>
      <c r="BT42" s="453">
        <f t="shared" si="44"/>
        <v>181785.13335051376</v>
      </c>
      <c r="BU42" s="453">
        <f t="shared" si="44"/>
        <v>182037.06285624602</v>
      </c>
      <c r="BV42" s="453">
        <f t="shared" si="44"/>
        <v>182289.3415020575</v>
      </c>
      <c r="BW42" s="453">
        <f t="shared" si="44"/>
        <v>182541.96977180894</v>
      </c>
      <c r="BX42" s="453">
        <f t="shared" si="44"/>
        <v>182794.94815003159</v>
      </c>
      <c r="BY42" s="453">
        <f t="shared" si="44"/>
        <v>183048.27712192832</v>
      </c>
      <c r="BZ42" s="453">
        <f t="shared" si="44"/>
        <v>183301.95717337428</v>
      </c>
      <c r="CA42" s="453">
        <f t="shared" si="44"/>
        <v>183555.98879091805</v>
      </c>
      <c r="CB42" s="453">
        <f t="shared" si="44"/>
        <v>183810.37246178254</v>
      </c>
      <c r="CC42" s="453">
        <f t="shared" si="44"/>
        <v>184065.10867386582</v>
      </c>
      <c r="CD42" s="453">
        <f t="shared" si="44"/>
        <v>184320.19791574212</v>
      </c>
      <c r="CE42" s="453">
        <f t="shared" si="44"/>
        <v>184575.64067666276</v>
      </c>
      <c r="CF42" s="453">
        <f t="shared" si="44"/>
        <v>184831.43744655719</v>
      </c>
      <c r="CG42" s="453">
        <f t="shared" si="44"/>
        <v>185087.5887160337</v>
      </c>
      <c r="CH42" s="453">
        <f t="shared" si="44"/>
        <v>185344.09497638061</v>
      </c>
      <c r="CI42" s="453">
        <f t="shared" si="44"/>
        <v>185600.95671956704</v>
      </c>
      <c r="CJ42" s="453">
        <f t="shared" si="44"/>
        <v>185858.17443824396</v>
      </c>
      <c r="CK42" s="453">
        <f t="shared" si="44"/>
        <v>186115.74862574504</v>
      </c>
      <c r="CL42" s="453">
        <f t="shared" si="44"/>
        <v>186373.67977608758</v>
      </c>
      <c r="CM42" s="453">
        <f t="shared" si="44"/>
        <v>186631.9683839737</v>
      </c>
      <c r="CN42" s="453">
        <f t="shared" si="44"/>
        <v>186890.61494479093</v>
      </c>
      <c r="CO42" s="453">
        <f t="shared" si="44"/>
        <v>187149.61995461347</v>
      </c>
      <c r="CP42" s="453">
        <f t="shared" si="44"/>
        <v>187408.98391020295</v>
      </c>
      <c r="CQ42" s="454">
        <f t="shared" si="44"/>
        <v>187668.70730900939</v>
      </c>
    </row>
    <row r="43" spans="2:95" outlineLevel="1" x14ac:dyDescent="0.25">
      <c r="B43" s="10"/>
      <c r="C43" s="51"/>
      <c r="D43" s="51" t="s">
        <v>144</v>
      </c>
      <c r="E43" s="51"/>
      <c r="F43" s="52" t="s">
        <v>19</v>
      </c>
      <c r="G43" s="53">
        <f>G34-G35</f>
        <v>8.0999999999999989E-2</v>
      </c>
      <c r="H43" s="53">
        <f>G43*(1+(('Utility Calc'!H53-'Utility Calc'!G53)/'Utility Calc'!G53)-'Customer Sector'!$F$12)</f>
        <v>8.2943093434957593E-2</v>
      </c>
      <c r="I43" s="53">
        <f>H43*(1+(('Utility Calc'!I53-'Utility Calc'!H53)/'Utility Calc'!H53)-'Customer Sector'!$F$12)</f>
        <v>8.3492740836596024E-2</v>
      </c>
      <c r="J43" s="53">
        <f>I43*(1+(('Utility Calc'!J53-'Utility Calc'!I53)/'Utility Calc'!I53)-'Customer Sector'!$F$12)</f>
        <v>8.4106978362833776E-2</v>
      </c>
      <c r="K43" s="53">
        <f>J43*(1+(('Utility Calc'!K53-'Utility Calc'!J53)/'Utility Calc'!J53)-'Customer Sector'!$F$12)</f>
        <v>8.4788689438926215E-2</v>
      </c>
      <c r="L43" s="53">
        <f>K43*(1+(('Utility Calc'!L53-'Utility Calc'!K53)/'Utility Calc'!K53)-'Customer Sector'!$F$12)</f>
        <v>8.5540908415353695E-2</v>
      </c>
      <c r="M43" s="53">
        <f>L43*(1+(('Utility Calc'!M53-'Utility Calc'!L53)/'Utility Calc'!L53)-'Customer Sector'!$F$12)</f>
        <v>8.6366828279327387E-2</v>
      </c>
      <c r="N43" s="53">
        <f>M43*(1+(('Utility Calc'!N53-'Utility Calc'!M53)/'Utility Calc'!M53)-'Customer Sector'!$F$12)</f>
        <v>8.7269808761879217E-2</v>
      </c>
      <c r="O43" s="53">
        <f>N43*(1+(('Utility Calc'!O53-'Utility Calc'!N53)/'Utility Calc'!N53)-'Customer Sector'!$F$12)</f>
        <v>8.825338486046258E-2</v>
      </c>
      <c r="P43" s="53">
        <f>O43*(1+(('Utility Calc'!P53-'Utility Calc'!O53)/'Utility Calc'!O53)-'Customer Sector'!$F$12)</f>
        <v>8.9321275797972846E-2</v>
      </c>
      <c r="Q43" s="53">
        <f>P43*(1+(('Utility Calc'!Q53-'Utility Calc'!P53)/'Utility Calc'!P53)-'Customer Sector'!$F$12)</f>
        <v>9.0477394440131725E-2</v>
      </c>
      <c r="R43" s="53">
        <f>Q43*(1+(('Utility Calc'!R53-'Utility Calc'!Q53)/'Utility Calc'!Q53)-'Customer Sector'!$F$12)</f>
        <v>9.172585719427033E-2</v>
      </c>
      <c r="S43" s="53">
        <f>R43*(1+(('Utility Calc'!S53-'Utility Calc'!R53)/'Utility Calc'!R53)-'Customer Sector'!$F$12)</f>
        <v>9.3070994413695388E-2</v>
      </c>
      <c r="T43" s="53">
        <f>S43*(1+(('Utility Calc'!T53-'Utility Calc'!S53)/'Utility Calc'!S53)-'Customer Sector'!$F$12)</f>
        <v>9.4517361333035635E-2</v>
      </c>
      <c r="U43" s="53">
        <f>T43*(1+(('Utility Calc'!U53-'Utility Calc'!T53)/'Utility Calc'!T53)-'Customer Sector'!$F$12)</f>
        <v>9.6069749561245685E-2</v>
      </c>
      <c r="V43" s="53">
        <f>U43*(1+(('Utility Calc'!V53-'Utility Calc'!U53)/'Utility Calc'!U53)-'Customer Sector'!$F$12)</f>
        <v>9.7733199160293605E-2</v>
      </c>
      <c r="W43" s="53">
        <f>V43*(1+(('Utility Calc'!W53-'Utility Calc'!V53)/'Utility Calc'!V53)-'Customer Sector'!$F$12)</f>
        <v>9.9513011338984048E-2</v>
      </c>
      <c r="X43" s="53">
        <f>W43*(1+(('Utility Calc'!X53-'Utility Calc'!W53)/'Utility Calc'!W53)-'Customer Sector'!$F$12)</f>
        <v>0.10141476179287225</v>
      </c>
      <c r="Y43" s="53">
        <f>X43*(1+(('Utility Calc'!Y53-'Utility Calc'!X53)/'Utility Calc'!X53)-'Customer Sector'!$F$12)</f>
        <v>0.10344431472281081</v>
      </c>
      <c r="Z43" s="53">
        <f>Y43*(1+(('Utility Calc'!Z53-'Utility Calc'!Y53)/'Utility Calc'!Y53)-'Customer Sector'!$F$12)</f>
        <v>0.10560783756634463</v>
      </c>
      <c r="AA43" s="53">
        <f>Z43*(1+(('Utility Calc'!AA53-'Utility Calc'!Z53)/'Utility Calc'!Z53)-'Customer Sector'!$F$12)</f>
        <v>0.10791181647793481</v>
      </c>
      <c r="AB43" s="53">
        <f>AA43*(1+(('Utility Calc'!AB53-'Utility Calc'!AA53)/'Utility Calc'!AA53)-'Customer Sector'!$F$12)</f>
        <v>0.11036307259585292</v>
      </c>
      <c r="AC43" s="53">
        <f>AB43*(1+(('Utility Calc'!AC53-'Utility Calc'!AB53)/'Utility Calc'!AB53)-'Customer Sector'!$F$12)</f>
        <v>0.11296877913554913</v>
      </c>
      <c r="AD43" s="53">
        <f>AC43*(1+(('Utility Calc'!AD53-'Utility Calc'!AC53)/'Utility Calc'!AC53)-'Customer Sector'!$F$12)</f>
        <v>0.11573647935136105</v>
      </c>
      <c r="AE43" s="53">
        <f>AD43*(1+(('Utility Calc'!AE53-'Utility Calc'!AD53)/'Utility Calc'!AD53)-'Customer Sector'!$F$12)</f>
        <v>0.11867410541060944</v>
      </c>
      <c r="AF43" s="54">
        <f>AE43*(1+(('Utility Calc'!AF53-'Utility Calc'!AE53)/'Utility Calc'!AE53)-'Customer Sector'!$F$12)</f>
        <v>0.12178999822641018</v>
      </c>
      <c r="AH43" s="10"/>
      <c r="AI43" s="51"/>
      <c r="AJ43" s="51" t="s">
        <v>144</v>
      </c>
      <c r="AK43" s="51"/>
      <c r="AL43" s="52" t="s">
        <v>8</v>
      </c>
      <c r="AM43" s="53">
        <f>AM44</f>
        <v>2.2831050228310504E-2</v>
      </c>
      <c r="AN43" s="53">
        <f>AM43*(1+(('Utility Calc'!H53-'Utility Calc'!G53)/'Utility Calc'!G53)-'Customer Sector'!$L$12)</f>
        <v>2.3433534425547551E-2</v>
      </c>
      <c r="AO43" s="53">
        <f>AN43*(1+(('Utility Calc'!I53-'Utility Calc'!H53)/'Utility Calc'!H53)-'Customer Sector'!$L$12)</f>
        <v>2.3645064285195864E-2</v>
      </c>
      <c r="AP43" s="53">
        <f>AO43*(1+(('Utility Calc'!J53-'Utility Calc'!I53)/'Utility Calc'!I53)-'Customer Sector'!$L$12)</f>
        <v>2.3875763918959198E-2</v>
      </c>
      <c r="AQ43" s="53">
        <f>AP43*(1+(('Utility Calc'!K53-'Utility Calc'!J53)/'Utility Calc'!J53)-'Customer Sector'!$L$12)</f>
        <v>2.4126585636571062E-2</v>
      </c>
      <c r="AR43" s="53">
        <f>AQ43*(1+(('Utility Calc'!L53-'Utility Calc'!K53)/'Utility Calc'!K53)-'Customer Sector'!$L$12)</f>
        <v>2.439853303296367E-2</v>
      </c>
      <c r="AS43" s="53">
        <f>AR43*(1+(('Utility Calc'!M53-'Utility Calc'!L53)/'Utility Calc'!L53)-'Customer Sector'!$L$12)</f>
        <v>2.4692663735816564E-2</v>
      </c>
      <c r="AT43" s="53">
        <f>AS43*(1+(('Utility Calc'!N53-'Utility Calc'!M53)/'Utility Calc'!M53)-'Customer Sector'!$L$12)</f>
        <v>2.5010092300446776E-2</v>
      </c>
      <c r="AU43" s="53">
        <f>AT43*(1+(('Utility Calc'!O53-'Utility Calc'!N53)/'Utility Calc'!N53)-'Customer Sector'!$L$12)</f>
        <v>2.5351993259857857E-2</v>
      </c>
      <c r="AV43" s="53">
        <f>AU43*(1+(('Utility Calc'!P53-'Utility Calc'!O53)/'Utility Calc'!O53)-'Customer Sector'!$L$12)</f>
        <v>2.5719604338173548E-2</v>
      </c>
      <c r="AW43" s="53">
        <f>AV43*(1+(('Utility Calc'!Q53-'Utility Calc'!P53)/'Utility Calc'!P53)-'Customer Sector'!$L$12)</f>
        <v>2.6114229836112574E-2</v>
      </c>
      <c r="AX43" s="53">
        <f>AW43*(1+(('Utility Calc'!R53-'Utility Calc'!Q53)/'Utility Calc'!Q53)-'Customer Sector'!$L$12)</f>
        <v>2.6537244197615259E-2</v>
      </c>
      <c r="AY43" s="53">
        <f>AX43*(1+(('Utility Calc'!S53-'Utility Calc'!R53)/'Utility Calc'!R53)-'Customer Sector'!$L$12)</f>
        <v>2.6990095767211911E-2</v>
      </c>
      <c r="AZ43" s="53">
        <f>AY43*(1+(('Utility Calc'!T53-'Utility Calc'!S53)/'Utility Calc'!S53)-'Customer Sector'!$L$12)</f>
        <v>2.7474310748228484E-2</v>
      </c>
      <c r="BA43" s="53">
        <f>AZ43*(1+(('Utility Calc'!U53-'Utility Calc'!T53)/'Utility Calc'!T53)-'Customer Sector'!$L$12)</f>
        <v>2.7991497372459057E-2</v>
      </c>
      <c r="BB43" s="53">
        <f>BA43*(1+(('Utility Calc'!V53-'Utility Calc'!U53)/'Utility Calc'!U53)-'Customer Sector'!$L$12)</f>
        <v>2.854335029249783E-2</v>
      </c>
      <c r="BC43" s="53">
        <f>BB43*(1+(('Utility Calc'!W53-'Utility Calc'!V53)/'Utility Calc'!V53)-'Customer Sector'!$L$12)</f>
        <v>2.91316552085185E-2</v>
      </c>
      <c r="BD43" s="53">
        <f>BC43*(1+(('Utility Calc'!X53-'Utility Calc'!W53)/'Utility Calc'!W53)-'Customer Sector'!$L$12)</f>
        <v>2.9758293741916977E-2</v>
      </c>
      <c r="BE43" s="53">
        <f>BD43*(1+(('Utility Calc'!Y53-'Utility Calc'!X53)/'Utility Calc'!X53)-'Customer Sector'!$L$12)</f>
        <v>3.042524856889672E-2</v>
      </c>
      <c r="BF43" s="53">
        <f>BE43*(1+(('Utility Calc'!Z53-'Utility Calc'!Y53)/'Utility Calc'!Y53)-'Customer Sector'!$L$12)</f>
        <v>3.1134608827775939E-2</v>
      </c>
      <c r="BG43" s="53">
        <f>BF43*(1+(('Utility Calc'!AA53-'Utility Calc'!Z53)/'Utility Calc'!Z53)-'Customer Sector'!$L$12)</f>
        <v>3.1888575814535275E-2</v>
      </c>
      <c r="BH43" s="53">
        <f>BG43*(1+(('Utility Calc'!AB53-'Utility Calc'!AA53)/'Utility Calc'!AA53)-'Customer Sector'!$L$12)</f>
        <v>3.2689468981904432E-2</v>
      </c>
      <c r="BI43" s="53">
        <f>BH43*(1+(('Utility Calc'!AC53-'Utility Calc'!AB53)/'Utility Calc'!AB53)-'Customer Sector'!$L$12)</f>
        <v>3.3539732258109724E-2</v>
      </c>
      <c r="BJ43" s="53">
        <f>BI43*(1+(('Utility Calc'!AD53-'Utility Calc'!AC53)/'Utility Calc'!AC53)-'Customer Sector'!$L$12)</f>
        <v>3.4441940702272043E-2</v>
      </c>
      <c r="BK43" s="53">
        <f>BJ43*(1+(('Utility Calc'!AE53-'Utility Calc'!AD53)/'Utility Calc'!AD53)-'Customer Sector'!$L$12)</f>
        <v>3.5398807514362106E-2</v>
      </c>
      <c r="BL43" s="54">
        <f>BK43*(1+(('Utility Calc'!AF53-'Utility Calc'!AE53)/'Utility Calc'!AE53)-'Customer Sector'!$L$12)</f>
        <v>3.6413191418583547E-2</v>
      </c>
      <c r="BN43" s="10"/>
      <c r="BO43" s="5" t="s">
        <v>105</v>
      </c>
      <c r="BP43" s="5"/>
      <c r="BQ43" s="12" t="s">
        <v>19</v>
      </c>
      <c r="BR43" s="48">
        <f>SUM(BR44:BR45)</f>
        <v>2367580</v>
      </c>
      <c r="BS43" s="48">
        <f t="shared" ref="BS43:CQ43" si="45">SUM(BS44:BS45)</f>
        <v>2320456.3160000001</v>
      </c>
      <c r="BT43" s="48">
        <f t="shared" si="45"/>
        <v>2272271.9690231998</v>
      </c>
      <c r="BU43" s="48">
        <f t="shared" si="45"/>
        <v>2222948.6565204365</v>
      </c>
      <c r="BV43" s="48">
        <f t="shared" si="45"/>
        <v>2172399.5704685776</v>
      </c>
      <c r="BW43" s="48">
        <f t="shared" si="45"/>
        <v>2120528.4319044971</v>
      </c>
      <c r="BX43" s="48">
        <f t="shared" si="45"/>
        <v>2067228.415436971</v>
      </c>
      <c r="BY43" s="48">
        <f t="shared" si="45"/>
        <v>2012380.9511943799</v>
      </c>
      <c r="BZ43" s="48">
        <f t="shared" si="45"/>
        <v>1955854.3902363186</v>
      </c>
      <c r="CA43" s="48">
        <f t="shared" si="45"/>
        <v>1897502.5178643956</v>
      </c>
      <c r="CB43" s="48">
        <f t="shared" si="45"/>
        <v>1837162.8974931631</v>
      </c>
      <c r="CC43" s="48">
        <f t="shared" si="45"/>
        <v>1863891.6368581308</v>
      </c>
      <c r="CD43" s="48">
        <f t="shared" si="45"/>
        <v>1890893.0093646215</v>
      </c>
      <c r="CE43" s="48">
        <f t="shared" si="45"/>
        <v>1918169.7958706783</v>
      </c>
      <c r="CF43" s="48">
        <f t="shared" si="45"/>
        <v>1945724.8055990969</v>
      </c>
      <c r="CG43" s="48">
        <f t="shared" si="45"/>
        <v>1973560.8764267457</v>
      </c>
      <c r="CH43" s="48">
        <f t="shared" si="45"/>
        <v>2001680.8751768363</v>
      </c>
      <c r="CI43" s="48">
        <f t="shared" si="45"/>
        <v>2030087.6979141776</v>
      </c>
      <c r="CJ43" s="48">
        <f t="shared" si="45"/>
        <v>2058784.2702434401</v>
      </c>
      <c r="CK43" s="48">
        <f t="shared" si="45"/>
        <v>2087773.547610461</v>
      </c>
      <c r="CL43" s="48">
        <f t="shared" si="45"/>
        <v>2117058.5156066259</v>
      </c>
      <c r="CM43" s="48">
        <f t="shared" si="45"/>
        <v>2146642.1902763513</v>
      </c>
      <c r="CN43" s="48">
        <f t="shared" si="45"/>
        <v>2176527.6184277078</v>
      </c>
      <c r="CO43" s="48">
        <f t="shared" si="45"/>
        <v>2206717.8779462082</v>
      </c>
      <c r="CP43" s="48">
        <f t="shared" si="45"/>
        <v>2237216.0781117976</v>
      </c>
      <c r="CQ43" s="57">
        <f t="shared" si="45"/>
        <v>2268025.3599190759</v>
      </c>
    </row>
    <row r="44" spans="2:95" outlineLevel="1" x14ac:dyDescent="0.25">
      <c r="B44" s="10"/>
      <c r="C44" s="51"/>
      <c r="D44" s="51" t="s">
        <v>187</v>
      </c>
      <c r="E44" s="51"/>
      <c r="F44" s="52" t="s">
        <v>7</v>
      </c>
      <c r="G44" s="55">
        <f t="shared" ref="G44:AF44" si="46">(G34-G41)/G41</f>
        <v>0</v>
      </c>
      <c r="H44" s="55">
        <f t="shared" si="46"/>
        <v>5.3199714759913468E-3</v>
      </c>
      <c r="I44" s="55">
        <f t="shared" si="46"/>
        <v>6.5456803008171445E-3</v>
      </c>
      <c r="J44" s="55">
        <f t="shared" si="46"/>
        <v>7.6953198066525364E-3</v>
      </c>
      <c r="K44" s="55">
        <f t="shared" si="46"/>
        <v>8.7680776761622278E-3</v>
      </c>
      <c r="L44" s="55">
        <f t="shared" si="46"/>
        <v>9.7633393478966796E-3</v>
      </c>
      <c r="M44" s="55">
        <f t="shared" si="46"/>
        <v>1.0680671387221079E-2</v>
      </c>
      <c r="N44" s="55">
        <f t="shared" si="46"/>
        <v>1.1519800002997389E-2</v>
      </c>
      <c r="O44" s="55">
        <f t="shared" si="46"/>
        <v>1.2280584788120535E-2</v>
      </c>
      <c r="P44" s="55">
        <f t="shared" si="46"/>
        <v>1.2962987790595388E-2</v>
      </c>
      <c r="Q44" s="55">
        <f t="shared" si="46"/>
        <v>1.3567038025178672E-2</v>
      </c>
      <c r="R44" s="55">
        <f t="shared" si="46"/>
        <v>1.1064998573403484E-2</v>
      </c>
      <c r="S44" s="55">
        <f t="shared" si="46"/>
        <v>1.077330920860658E-2</v>
      </c>
      <c r="T44" s="55">
        <f t="shared" si="46"/>
        <v>1.0486030808337541E-2</v>
      </c>
      <c r="U44" s="55">
        <f t="shared" si="46"/>
        <v>1.0203563963215567E-2</v>
      </c>
      <c r="V44" s="55">
        <f t="shared" si="46"/>
        <v>9.9262675117920383E-3</v>
      </c>
      <c r="W44" s="55">
        <f t="shared" si="46"/>
        <v>9.6544578966123416E-3</v>
      </c>
      <c r="X44" s="55">
        <f t="shared" si="46"/>
        <v>9.3884090948309403E-3</v>
      </c>
      <c r="Y44" s="55">
        <f t="shared" si="46"/>
        <v>9.1283530782412456E-3</v>
      </c>
      <c r="Z44" s="55">
        <f t="shared" si="46"/>
        <v>8.8744807497738512E-3</v>
      </c>
      <c r="AA44" s="55">
        <f t="shared" si="46"/>
        <v>8.6269432980576703E-3</v>
      </c>
      <c r="AB44" s="55">
        <f t="shared" si="46"/>
        <v>8.385853908473441E-3</v>
      </c>
      <c r="AC44" s="55">
        <f t="shared" si="46"/>
        <v>8.1512897680317102E-3</v>
      </c>
      <c r="AD44" s="55">
        <f t="shared" si="46"/>
        <v>7.923294302191651E-3</v>
      </c>
      <c r="AE44" s="55">
        <f t="shared" si="46"/>
        <v>7.7018795840719401E-3</v>
      </c>
      <c r="AF44" s="56">
        <f t="shared" si="46"/>
        <v>7.4870288601126831E-3</v>
      </c>
      <c r="AH44" s="10"/>
      <c r="AI44" s="51"/>
      <c r="AJ44" s="51"/>
      <c r="AK44" s="423" t="s">
        <v>435</v>
      </c>
      <c r="AL44" s="52" t="s">
        <v>19</v>
      </c>
      <c r="AM44" s="53">
        <f t="shared" ref="AM44:BL44" si="47">(AM29*AM60*12)/AM57</f>
        <v>2.2831050228310504E-2</v>
      </c>
      <c r="AN44" s="53">
        <f t="shared" si="47"/>
        <v>2.3433534425547551E-2</v>
      </c>
      <c r="AO44" s="53">
        <f t="shared" si="47"/>
        <v>2.364506428519586E-2</v>
      </c>
      <c r="AP44" s="53">
        <f t="shared" si="47"/>
        <v>2.3875763918959198E-2</v>
      </c>
      <c r="AQ44" s="53">
        <f t="shared" si="47"/>
        <v>2.4126585636571059E-2</v>
      </c>
      <c r="AR44" s="53">
        <f t="shared" si="47"/>
        <v>2.4398533032963667E-2</v>
      </c>
      <c r="AS44" s="53">
        <f t="shared" si="47"/>
        <v>2.4692663735816557E-2</v>
      </c>
      <c r="AT44" s="53">
        <f t="shared" si="47"/>
        <v>2.5010092300446766E-2</v>
      </c>
      <c r="AU44" s="53">
        <f t="shared" si="47"/>
        <v>2.5351993259857847E-2</v>
      </c>
      <c r="AV44" s="53">
        <f t="shared" si="47"/>
        <v>2.5719604338173538E-2</v>
      </c>
      <c r="AW44" s="53">
        <f t="shared" si="47"/>
        <v>2.6114229836112564E-2</v>
      </c>
      <c r="AX44" s="53">
        <f t="shared" si="47"/>
        <v>2.6537244197615249E-2</v>
      </c>
      <c r="AY44" s="53">
        <f t="shared" si="47"/>
        <v>2.6990095767211904E-2</v>
      </c>
      <c r="AZ44" s="53">
        <f t="shared" si="47"/>
        <v>2.7474310748228471E-2</v>
      </c>
      <c r="BA44" s="53">
        <f t="shared" si="47"/>
        <v>2.7991497372459047E-2</v>
      </c>
      <c r="BB44" s="53">
        <f t="shared" si="47"/>
        <v>2.8543350292497823E-2</v>
      </c>
      <c r="BC44" s="53">
        <f t="shared" si="47"/>
        <v>2.9131655208518493E-2</v>
      </c>
      <c r="BD44" s="53">
        <f t="shared" si="47"/>
        <v>2.9758293741916974E-2</v>
      </c>
      <c r="BE44" s="53">
        <f t="shared" si="47"/>
        <v>3.042524856889672E-2</v>
      </c>
      <c r="BF44" s="53">
        <f t="shared" si="47"/>
        <v>3.1134608827775932E-2</v>
      </c>
      <c r="BG44" s="53">
        <f t="shared" si="47"/>
        <v>3.1888575814535268E-2</v>
      </c>
      <c r="BH44" s="53">
        <f t="shared" si="47"/>
        <v>3.2689468981904432E-2</v>
      </c>
      <c r="BI44" s="53">
        <f t="shared" si="47"/>
        <v>3.3539732258109724E-2</v>
      </c>
      <c r="BJ44" s="53">
        <f t="shared" si="47"/>
        <v>3.4441940702272043E-2</v>
      </c>
      <c r="BK44" s="53">
        <f t="shared" si="47"/>
        <v>3.5398807514362099E-2</v>
      </c>
      <c r="BL44" s="54">
        <f t="shared" si="47"/>
        <v>3.6413191418583533E-2</v>
      </c>
      <c r="BN44" s="10"/>
      <c r="BO44" s="5"/>
      <c r="BP44" s="5" t="s">
        <v>461</v>
      </c>
      <c r="BQ44" s="12" t="s">
        <v>19</v>
      </c>
      <c r="BR44" s="48">
        <f t="shared" ref="BR44:CQ44" si="48">G198</f>
        <v>2062040</v>
      </c>
      <c r="BS44" s="48">
        <f t="shared" si="48"/>
        <v>2017513.808</v>
      </c>
      <c r="BT44" s="48">
        <f t="shared" si="48"/>
        <v>1972546.5606416001</v>
      </c>
      <c r="BU44" s="48">
        <f t="shared" si="48"/>
        <v>1927133.8902781443</v>
      </c>
      <c r="BV44" s="48">
        <f t="shared" si="48"/>
        <v>1881271.3860241612</v>
      </c>
      <c r="BW44" s="48">
        <f t="shared" si="48"/>
        <v>1834954.5933274394</v>
      </c>
      <c r="BX44" s="48">
        <f t="shared" si="48"/>
        <v>1788179.0135368695</v>
      </c>
      <c r="BY44" s="48">
        <f t="shared" si="48"/>
        <v>1740940.1034660104</v>
      </c>
      <c r="BZ44" s="48">
        <f t="shared" si="48"/>
        <v>1693233.2749523392</v>
      </c>
      <c r="CA44" s="48">
        <f t="shared" si="48"/>
        <v>1645053.8944121385</v>
      </c>
      <c r="CB44" s="48">
        <f t="shared" si="48"/>
        <v>1596397.2823909803</v>
      </c>
      <c r="CC44" s="48">
        <f t="shared" si="48"/>
        <v>1619676.6350295979</v>
      </c>
      <c r="CD44" s="48">
        <f t="shared" si="48"/>
        <v>1643193.4370651294</v>
      </c>
      <c r="CE44" s="48">
        <f t="shared" si="48"/>
        <v>1666950.1104814236</v>
      </c>
      <c r="CF44" s="48">
        <f t="shared" si="48"/>
        <v>1690949.1019665638</v>
      </c>
      <c r="CG44" s="48">
        <f t="shared" si="48"/>
        <v>1715192.8831648526</v>
      </c>
      <c r="CH44" s="48">
        <f t="shared" si="48"/>
        <v>1739683.950931364</v>
      </c>
      <c r="CI44" s="48">
        <f t="shared" si="48"/>
        <v>1764424.8275890935</v>
      </c>
      <c r="CJ44" s="48">
        <f t="shared" si="48"/>
        <v>1789418.061188732</v>
      </c>
      <c r="CK44" s="48">
        <f t="shared" si="48"/>
        <v>1814666.225771087</v>
      </c>
      <c r="CL44" s="48">
        <f t="shared" si="48"/>
        <v>1840171.9216321821</v>
      </c>
      <c r="CM44" s="48">
        <f t="shared" si="48"/>
        <v>1865937.7755910603</v>
      </c>
      <c r="CN44" s="48">
        <f t="shared" si="48"/>
        <v>1891966.441260319</v>
      </c>
      <c r="CO44" s="48">
        <f t="shared" si="48"/>
        <v>1918260.5993194042</v>
      </c>
      <c r="CP44" s="48">
        <f t="shared" si="48"/>
        <v>1944822.9577906921</v>
      </c>
      <c r="CQ44" s="57">
        <f t="shared" si="48"/>
        <v>1971656.2523183872</v>
      </c>
    </row>
    <row r="45" spans="2:95" outlineLevel="1" x14ac:dyDescent="0.25">
      <c r="B45" s="10"/>
      <c r="C45" s="415"/>
      <c r="D45" s="415"/>
      <c r="E45" s="415"/>
      <c r="F45" s="416"/>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8"/>
      <c r="AH45" s="10"/>
      <c r="AI45" s="51"/>
      <c r="AJ45" s="51"/>
      <c r="AK45" s="423" t="s">
        <v>356</v>
      </c>
      <c r="AL45" s="52" t="s">
        <v>19</v>
      </c>
      <c r="AM45" s="53">
        <f>AM44+AM43</f>
        <v>4.5662100456621009E-2</v>
      </c>
      <c r="AN45" s="53">
        <f t="shared" ref="AN45:BL45" si="49">AN44+AN43</f>
        <v>4.6867068851095102E-2</v>
      </c>
      <c r="AO45" s="53">
        <f t="shared" si="49"/>
        <v>4.7290128570391721E-2</v>
      </c>
      <c r="AP45" s="53">
        <f t="shared" si="49"/>
        <v>4.7751527837918396E-2</v>
      </c>
      <c r="AQ45" s="53">
        <f t="shared" si="49"/>
        <v>4.8253171273142118E-2</v>
      </c>
      <c r="AR45" s="53">
        <f t="shared" si="49"/>
        <v>4.8797066065927333E-2</v>
      </c>
      <c r="AS45" s="53">
        <f t="shared" si="49"/>
        <v>4.9385327471633121E-2</v>
      </c>
      <c r="AT45" s="53">
        <f t="shared" si="49"/>
        <v>5.0020184600893539E-2</v>
      </c>
      <c r="AU45" s="53">
        <f t="shared" si="49"/>
        <v>5.0703986519715707E-2</v>
      </c>
      <c r="AV45" s="53">
        <f t="shared" si="49"/>
        <v>5.143920867634709E-2</v>
      </c>
      <c r="AW45" s="53">
        <f t="shared" si="49"/>
        <v>5.2228459672225142E-2</v>
      </c>
      <c r="AX45" s="53">
        <f t="shared" si="49"/>
        <v>5.3074488395230504E-2</v>
      </c>
      <c r="AY45" s="53">
        <f t="shared" si="49"/>
        <v>5.3980191534423815E-2</v>
      </c>
      <c r="AZ45" s="53">
        <f t="shared" si="49"/>
        <v>5.4948621496456955E-2</v>
      </c>
      <c r="BA45" s="53">
        <f t="shared" si="49"/>
        <v>5.5982994744918108E-2</v>
      </c>
      <c r="BB45" s="53">
        <f t="shared" si="49"/>
        <v>5.7086700584995653E-2</v>
      </c>
      <c r="BC45" s="53">
        <f t="shared" si="49"/>
        <v>5.8263310417036994E-2</v>
      </c>
      <c r="BD45" s="53">
        <f t="shared" si="49"/>
        <v>5.9516587483833955E-2</v>
      </c>
      <c r="BE45" s="53">
        <f t="shared" si="49"/>
        <v>6.085049713779344E-2</v>
      </c>
      <c r="BF45" s="53">
        <f t="shared" si="49"/>
        <v>6.2269217655551871E-2</v>
      </c>
      <c r="BG45" s="53">
        <f t="shared" si="49"/>
        <v>6.377715162907055E-2</v>
      </c>
      <c r="BH45" s="53">
        <f t="shared" si="49"/>
        <v>6.5378937963808864E-2</v>
      </c>
      <c r="BI45" s="53">
        <f t="shared" si="49"/>
        <v>6.7079464516219448E-2</v>
      </c>
      <c r="BJ45" s="53">
        <f t="shared" si="49"/>
        <v>6.8883881404544087E-2</v>
      </c>
      <c r="BK45" s="53">
        <f t="shared" si="49"/>
        <v>7.0797615028724198E-2</v>
      </c>
      <c r="BL45" s="54">
        <f t="shared" si="49"/>
        <v>7.2826382837167081E-2</v>
      </c>
      <c r="BN45" s="10"/>
      <c r="BO45" s="5"/>
      <c r="BP45" s="5" t="s">
        <v>462</v>
      </c>
      <c r="BQ45" s="12" t="s">
        <v>19</v>
      </c>
      <c r="BR45" s="48">
        <f t="shared" ref="BR45:CQ45" si="50">AM200</f>
        <v>305540</v>
      </c>
      <c r="BS45" s="48">
        <f t="shared" si="50"/>
        <v>302942.50799999997</v>
      </c>
      <c r="BT45" s="48">
        <f t="shared" si="50"/>
        <v>299725.40838159993</v>
      </c>
      <c r="BU45" s="48">
        <f t="shared" si="50"/>
        <v>295814.7662422923</v>
      </c>
      <c r="BV45" s="48">
        <f t="shared" si="50"/>
        <v>291128.18444441643</v>
      </c>
      <c r="BW45" s="48">
        <f t="shared" si="50"/>
        <v>285573.83857705788</v>
      </c>
      <c r="BX45" s="48">
        <f t="shared" si="50"/>
        <v>279049.40190010145</v>
      </c>
      <c r="BY45" s="48">
        <f t="shared" si="50"/>
        <v>271440.84772836958</v>
      </c>
      <c r="BZ45" s="48">
        <f t="shared" si="50"/>
        <v>262621.11528397922</v>
      </c>
      <c r="CA45" s="48">
        <f t="shared" si="50"/>
        <v>252448.62345225707</v>
      </c>
      <c r="CB45" s="48">
        <f t="shared" si="50"/>
        <v>240765.61510218275</v>
      </c>
      <c r="CC45" s="48">
        <f t="shared" si="50"/>
        <v>244215.00182853299</v>
      </c>
      <c r="CD45" s="48">
        <f t="shared" si="50"/>
        <v>247699.57229949199</v>
      </c>
      <c r="CE45" s="48">
        <f t="shared" si="50"/>
        <v>251219.6853892548</v>
      </c>
      <c r="CF45" s="48">
        <f t="shared" si="50"/>
        <v>254775.70363253317</v>
      </c>
      <c r="CG45" s="48">
        <f t="shared" si="50"/>
        <v>258367.99326189302</v>
      </c>
      <c r="CH45" s="48">
        <f t="shared" si="50"/>
        <v>261996.92424547233</v>
      </c>
      <c r="CI45" s="48">
        <f t="shared" si="50"/>
        <v>265662.87032508419</v>
      </c>
      <c r="CJ45" s="48">
        <f t="shared" si="50"/>
        <v>269366.20905470802</v>
      </c>
      <c r="CK45" s="48">
        <f t="shared" si="50"/>
        <v>273107.32183937402</v>
      </c>
      <c r="CL45" s="48">
        <f t="shared" si="50"/>
        <v>276886.59397444362</v>
      </c>
      <c r="CM45" s="48">
        <f t="shared" si="50"/>
        <v>280704.41468529089</v>
      </c>
      <c r="CN45" s="48">
        <f t="shared" si="50"/>
        <v>284561.17716738884</v>
      </c>
      <c r="CO45" s="48">
        <f t="shared" si="50"/>
        <v>288457.27862680424</v>
      </c>
      <c r="CP45" s="48">
        <f t="shared" si="50"/>
        <v>292393.12032110558</v>
      </c>
      <c r="CQ45" s="57">
        <f t="shared" si="50"/>
        <v>296369.10760068893</v>
      </c>
    </row>
    <row r="46" spans="2:95" outlineLevel="1" x14ac:dyDescent="0.25">
      <c r="B46" s="10"/>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9"/>
      <c r="AH46" s="10"/>
      <c r="AI46" s="51"/>
      <c r="AJ46" s="51" t="s">
        <v>187</v>
      </c>
      <c r="AK46" s="51"/>
      <c r="AL46" s="52" t="s">
        <v>7</v>
      </c>
      <c r="AM46" s="55">
        <f t="shared" ref="AM46:BL46" si="51">(AM34-AM41)/AM41</f>
        <v>-2.1627743918882569E-2</v>
      </c>
      <c r="AN46" s="55">
        <f t="shared" si="51"/>
        <v>1.1938869363431217E-3</v>
      </c>
      <c r="AO46" s="55">
        <f t="shared" si="51"/>
        <v>1.9516379799655839E-3</v>
      </c>
      <c r="AP46" s="55">
        <f t="shared" si="51"/>
        <v>2.7765546723708791E-3</v>
      </c>
      <c r="AQ46" s="55">
        <f t="shared" si="51"/>
        <v>3.668034918479007E-3</v>
      </c>
      <c r="AR46" s="55">
        <f t="shared" si="51"/>
        <v>4.6257237746203965E-3</v>
      </c>
      <c r="AS46" s="55">
        <f t="shared" si="51"/>
        <v>5.6495633167239594E-3</v>
      </c>
      <c r="AT46" s="55">
        <f t="shared" si="51"/>
        <v>6.739843907242575E-3</v>
      </c>
      <c r="AU46" s="55">
        <f t="shared" si="51"/>
        <v>7.8972571682943381E-3</v>
      </c>
      <c r="AV46" s="55">
        <f t="shared" si="51"/>
        <v>9.1229511657894904E-3</v>
      </c>
      <c r="AW46" s="55">
        <f t="shared" si="51"/>
        <v>1.0418588533859741E-2</v>
      </c>
      <c r="AX46" s="55">
        <f t="shared" si="51"/>
        <v>1.1312059021414798E-2</v>
      </c>
      <c r="AY46" s="55">
        <f t="shared" si="51"/>
        <v>1.0948286457197332E-2</v>
      </c>
      <c r="AZ46" s="55">
        <f t="shared" si="51"/>
        <v>1.0594746259683227E-2</v>
      </c>
      <c r="BA46" s="55">
        <f t="shared" si="51"/>
        <v>1.0251598819421427E-2</v>
      </c>
      <c r="BB46" s="55">
        <f t="shared" si="51"/>
        <v>9.9189480269155413E-3</v>
      </c>
      <c r="BC46" s="55">
        <f t="shared" si="51"/>
        <v>9.5968447290840295E-3</v>
      </c>
      <c r="BD46" s="55">
        <f t="shared" si="51"/>
        <v>9.2852904752984862E-3</v>
      </c>
      <c r="BE46" s="55">
        <f t="shared" si="51"/>
        <v>8.9842414643550184E-3</v>
      </c>
      <c r="BF46" s="55">
        <f t="shared" si="51"/>
        <v>8.6936126103037206E-3</v>
      </c>
      <c r="BG46" s="55">
        <f t="shared" si="51"/>
        <v>8.4132816528592787E-3</v>
      </c>
      <c r="BH46" s="55">
        <f t="shared" si="51"/>
        <v>8.1430932466777795E-3</v>
      </c>
      <c r="BI46" s="55">
        <f t="shared" si="51"/>
        <v>7.8828629727704796E-3</v>
      </c>
      <c r="BJ46" s="55">
        <f t="shared" si="51"/>
        <v>7.6323812243528849E-3</v>
      </c>
      <c r="BK46" s="55">
        <f t="shared" si="51"/>
        <v>7.3914169282587568E-3</v>
      </c>
      <c r="BL46" s="56">
        <f t="shared" si="51"/>
        <v>7.1597210714133891E-3</v>
      </c>
      <c r="BN46" s="10"/>
      <c r="BO46" s="51" t="s">
        <v>57</v>
      </c>
      <c r="BP46" s="51"/>
      <c r="BQ46" s="52" t="s">
        <v>19</v>
      </c>
      <c r="BR46" s="459">
        <f>SUM(BR47:BR48)</f>
        <v>0</v>
      </c>
      <c r="BS46" s="459">
        <f t="shared" ref="BS46:CQ46" si="52">SUM(BS47:BS48)</f>
        <v>71273</v>
      </c>
      <c r="BT46" s="459">
        <f t="shared" si="52"/>
        <v>143852.986</v>
      </c>
      <c r="BU46" s="459">
        <f t="shared" si="52"/>
        <v>217820.773044</v>
      </c>
      <c r="BV46" s="459">
        <f t="shared" si="52"/>
        <v>293265.70727741602</v>
      </c>
      <c r="BW46" s="459">
        <f t="shared" si="52"/>
        <v>370286.63167450548</v>
      </c>
      <c r="BX46" s="459">
        <f t="shared" si="52"/>
        <v>448992.96179053775</v>
      </c>
      <c r="BY46" s="459">
        <f t="shared" si="52"/>
        <v>529505.88408084912</v>
      </c>
      <c r="BZ46" s="459">
        <f t="shared" si="52"/>
        <v>611959.69075871783</v>
      </c>
      <c r="CA46" s="459">
        <f t="shared" si="52"/>
        <v>696503.26675679022</v>
      </c>
      <c r="CB46" s="459">
        <f t="shared" si="52"/>
        <v>783301.74613115855</v>
      </c>
      <c r="CC46" s="459">
        <f t="shared" si="52"/>
        <v>783301.74613115855</v>
      </c>
      <c r="CD46" s="459">
        <f t="shared" si="52"/>
        <v>783301.74613115855</v>
      </c>
      <c r="CE46" s="459">
        <f t="shared" si="52"/>
        <v>783301.74613115855</v>
      </c>
      <c r="CF46" s="459">
        <f t="shared" si="52"/>
        <v>783301.74613115855</v>
      </c>
      <c r="CG46" s="459">
        <f t="shared" si="52"/>
        <v>783301.74613115855</v>
      </c>
      <c r="CH46" s="459">
        <f t="shared" si="52"/>
        <v>783301.74613115855</v>
      </c>
      <c r="CI46" s="459">
        <f t="shared" si="52"/>
        <v>783301.74613115855</v>
      </c>
      <c r="CJ46" s="459">
        <f t="shared" si="52"/>
        <v>783301.74613115855</v>
      </c>
      <c r="CK46" s="459">
        <f t="shared" si="52"/>
        <v>783301.74613115855</v>
      </c>
      <c r="CL46" s="459">
        <f t="shared" si="52"/>
        <v>783301.74613115855</v>
      </c>
      <c r="CM46" s="459">
        <f t="shared" si="52"/>
        <v>783301.74613115855</v>
      </c>
      <c r="CN46" s="459">
        <f t="shared" si="52"/>
        <v>783301.74613115855</v>
      </c>
      <c r="CO46" s="459">
        <f t="shared" si="52"/>
        <v>783301.74613115855</v>
      </c>
      <c r="CP46" s="459">
        <f t="shared" si="52"/>
        <v>783301.74613115855</v>
      </c>
      <c r="CQ46" s="460">
        <f t="shared" si="52"/>
        <v>783301.74613115855</v>
      </c>
    </row>
    <row r="47" spans="2:95" x14ac:dyDescent="0.25">
      <c r="B47" s="4" t="s">
        <v>211</v>
      </c>
      <c r="C47" s="5"/>
      <c r="D47" s="5"/>
      <c r="E47" s="5"/>
      <c r="F47" s="12"/>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14"/>
      <c r="AH47" s="4" t="s">
        <v>211</v>
      </c>
      <c r="AI47" s="5"/>
      <c r="AJ47" s="5"/>
      <c r="AK47" s="5"/>
      <c r="AL47" s="12"/>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14"/>
      <c r="BN47" s="10"/>
      <c r="BO47" s="51"/>
      <c r="BP47" s="51" t="s">
        <v>461</v>
      </c>
      <c r="BQ47" s="52" t="s">
        <v>19</v>
      </c>
      <c r="BR47" s="459">
        <f t="shared" ref="BR47:CQ47" si="53">G196</f>
        <v>0</v>
      </c>
      <c r="BS47" s="459">
        <f t="shared" si="53"/>
        <v>65559</v>
      </c>
      <c r="BT47" s="459">
        <f t="shared" si="53"/>
        <v>131773.59</v>
      </c>
      <c r="BU47" s="459">
        <f t="shared" si="53"/>
        <v>198650.3259</v>
      </c>
      <c r="BV47" s="459">
        <f t="shared" si="53"/>
        <v>266195.82915900002</v>
      </c>
      <c r="BW47" s="459">
        <f t="shared" si="53"/>
        <v>334416.78745059005</v>
      </c>
      <c r="BX47" s="459">
        <f t="shared" si="53"/>
        <v>403319.95532509597</v>
      </c>
      <c r="BY47" s="459">
        <f t="shared" si="53"/>
        <v>472912.15487834695</v>
      </c>
      <c r="BZ47" s="459">
        <f t="shared" si="53"/>
        <v>543200.27642713045</v>
      </c>
      <c r="CA47" s="459">
        <f t="shared" si="53"/>
        <v>614191.27919140179</v>
      </c>
      <c r="CB47" s="459">
        <f t="shared" si="53"/>
        <v>685892.19198331586</v>
      </c>
      <c r="CC47" s="459">
        <f t="shared" si="53"/>
        <v>685892.19198331586</v>
      </c>
      <c r="CD47" s="459">
        <f t="shared" si="53"/>
        <v>685892.19198331586</v>
      </c>
      <c r="CE47" s="459">
        <f t="shared" si="53"/>
        <v>685892.19198331586</v>
      </c>
      <c r="CF47" s="459">
        <f t="shared" si="53"/>
        <v>685892.19198331586</v>
      </c>
      <c r="CG47" s="459">
        <f t="shared" si="53"/>
        <v>685892.19198331586</v>
      </c>
      <c r="CH47" s="459">
        <f t="shared" si="53"/>
        <v>685892.19198331586</v>
      </c>
      <c r="CI47" s="459">
        <f t="shared" si="53"/>
        <v>685892.19198331586</v>
      </c>
      <c r="CJ47" s="459">
        <f t="shared" si="53"/>
        <v>685892.19198331586</v>
      </c>
      <c r="CK47" s="459">
        <f t="shared" si="53"/>
        <v>685892.19198331586</v>
      </c>
      <c r="CL47" s="459">
        <f t="shared" si="53"/>
        <v>685892.19198331586</v>
      </c>
      <c r="CM47" s="459">
        <f t="shared" si="53"/>
        <v>685892.19198331586</v>
      </c>
      <c r="CN47" s="459">
        <f t="shared" si="53"/>
        <v>685892.19198331586</v>
      </c>
      <c r="CO47" s="459">
        <f t="shared" si="53"/>
        <v>685892.19198331586</v>
      </c>
      <c r="CP47" s="459">
        <f t="shared" si="53"/>
        <v>685892.19198331586</v>
      </c>
      <c r="CQ47" s="460">
        <f t="shared" si="53"/>
        <v>685892.19198331586</v>
      </c>
    </row>
    <row r="48" spans="2:95" ht="15" customHeight="1" outlineLevel="1" x14ac:dyDescent="0.25">
      <c r="B48" s="4"/>
      <c r="C48" s="9" t="s">
        <v>199</v>
      </c>
      <c r="D48" s="9"/>
      <c r="E48" s="9"/>
      <c r="F48" s="339" t="s">
        <v>8</v>
      </c>
      <c r="G48" s="33">
        <f t="shared" ref="G48:AF48" si="54">SUM(G49,G51,G22)</f>
        <v>0.11982116036098431</v>
      </c>
      <c r="H48" s="33">
        <f t="shared" si="54"/>
        <v>0.12513402043350813</v>
      </c>
      <c r="I48" s="33">
        <f t="shared" si="54"/>
        <v>0.12855042377726425</v>
      </c>
      <c r="J48" s="33">
        <f t="shared" si="54"/>
        <v>0.13220705544443778</v>
      </c>
      <c r="K48" s="33">
        <f t="shared" si="54"/>
        <v>0.13611843600173321</v>
      </c>
      <c r="L48" s="33">
        <f t="shared" si="54"/>
        <v>0.1402999839414576</v>
      </c>
      <c r="M48" s="33">
        <f t="shared" si="54"/>
        <v>0.14476807108207163</v>
      </c>
      <c r="N48" s="33">
        <f t="shared" si="54"/>
        <v>0.14954008133564503</v>
      </c>
      <c r="O48" s="33">
        <f t="shared" si="54"/>
        <v>0.15463447303474037</v>
      </c>
      <c r="P48" s="33">
        <f t="shared" si="54"/>
        <v>0.16007084501959262</v>
      </c>
      <c r="Q48" s="33">
        <f t="shared" si="54"/>
        <v>0.16587000669451205</v>
      </c>
      <c r="R48" s="33">
        <f t="shared" si="54"/>
        <v>0.17102167382089159</v>
      </c>
      <c r="S48" s="33">
        <f t="shared" si="54"/>
        <v>0.17739795982552498</v>
      </c>
      <c r="T48" s="33">
        <f t="shared" si="54"/>
        <v>0.1842023275817869</v>
      </c>
      <c r="U48" s="33">
        <f t="shared" si="54"/>
        <v>0.19146075708457655</v>
      </c>
      <c r="V48" s="33">
        <f t="shared" si="54"/>
        <v>0.19920085035956375</v>
      </c>
      <c r="W48" s="33">
        <f t="shared" si="54"/>
        <v>0.20745193328571276</v>
      </c>
      <c r="X48" s="33">
        <f t="shared" si="54"/>
        <v>0.21624516385690218</v>
      </c>
      <c r="Y48" s="33">
        <f t="shared" si="54"/>
        <v>0.22561364729215194</v>
      </c>
      <c r="Z48" s="33">
        <f t="shared" si="54"/>
        <v>0.23559255843012861</v>
      </c>
      <c r="AA48" s="33">
        <f t="shared" si="54"/>
        <v>0.24621927187144441</v>
      </c>
      <c r="AB48" s="33">
        <f t="shared" si="54"/>
        <v>0.25753350036189238</v>
      </c>
      <c r="AC48" s="33">
        <f t="shared" si="54"/>
        <v>0.26957744194128619</v>
      </c>
      <c r="AD48" s="33">
        <f t="shared" si="54"/>
        <v>0.2823959364161262</v>
      </c>
      <c r="AE48" s="33">
        <f t="shared" si="54"/>
        <v>0.29603663175001538</v>
      </c>
      <c r="AF48" s="243">
        <f t="shared" si="54"/>
        <v>0.3105501610037445</v>
      </c>
      <c r="AH48" s="4"/>
      <c r="AI48" s="9" t="s">
        <v>199</v>
      </c>
      <c r="AJ48" s="9"/>
      <c r="AK48" s="9"/>
      <c r="AL48" s="339" t="s">
        <v>8</v>
      </c>
      <c r="AM48" s="33">
        <f t="shared" ref="AM48:BL48" si="55">SUM(AM49,AM51,AM22)</f>
        <v>6.1541308630334995E-2</v>
      </c>
      <c r="AN48" s="33">
        <f t="shared" si="55"/>
        <v>6.4763435872390515E-2</v>
      </c>
      <c r="AO48" s="33">
        <f t="shared" si="55"/>
        <v>6.7981179562724453E-2</v>
      </c>
      <c r="AP48" s="33">
        <f t="shared" si="55"/>
        <v>7.1179765720110338E-2</v>
      </c>
      <c r="AQ48" s="33">
        <f t="shared" si="55"/>
        <v>7.4593314830309634E-2</v>
      </c>
      <c r="AR48" s="33">
        <f t="shared" si="55"/>
        <v>7.823592753505719E-2</v>
      </c>
      <c r="AS48" s="33">
        <f t="shared" si="55"/>
        <v>8.2122672238838887E-2</v>
      </c>
      <c r="AT48" s="33">
        <f t="shared" si="55"/>
        <v>8.626965713066613E-2</v>
      </c>
      <c r="AU48" s="33">
        <f t="shared" si="55"/>
        <v>9.0694108535203682E-2</v>
      </c>
      <c r="AV48" s="33">
        <f t="shared" si="55"/>
        <v>9.5414456330108741E-2</v>
      </c>
      <c r="AW48" s="33">
        <f t="shared" si="55"/>
        <v>0.10045042728639728</v>
      </c>
      <c r="AX48" s="33">
        <f t="shared" si="55"/>
        <v>0.10586007746550796</v>
      </c>
      <c r="AY48" s="33">
        <f t="shared" si="55"/>
        <v>0.11083316496490922</v>
      </c>
      <c r="AZ48" s="33">
        <f t="shared" si="55"/>
        <v>0.11668622618142982</v>
      </c>
      <c r="BA48" s="33">
        <f t="shared" si="55"/>
        <v>0.12292119720990827</v>
      </c>
      <c r="BB48" s="33">
        <f t="shared" si="55"/>
        <v>0.12956241957729511</v>
      </c>
      <c r="BC48" s="33">
        <f t="shared" si="55"/>
        <v>0.13663579605670201</v>
      </c>
      <c r="BD48" s="33">
        <f t="shared" si="55"/>
        <v>0.14416889101040009</v>
      </c>
      <c r="BE48" s="33">
        <f t="shared" si="55"/>
        <v>0.15219103719519261</v>
      </c>
      <c r="BF48" s="33">
        <f t="shared" si="55"/>
        <v>0.1607334494470547</v>
      </c>
      <c r="BG48" s="33">
        <f t="shared" si="55"/>
        <v>0.16982934568886457</v>
      </c>
      <c r="BH48" s="33">
        <f t="shared" si="55"/>
        <v>0.17951407573372224</v>
      </c>
      <c r="BI48" s="33">
        <f t="shared" si="55"/>
        <v>0.18982525838688083</v>
      </c>
      <c r="BJ48" s="33">
        <f t="shared" si="55"/>
        <v>0.20080292738181385</v>
      </c>
      <c r="BK48" s="33">
        <f t="shared" si="55"/>
        <v>0.21248968672055268</v>
      </c>
      <c r="BL48" s="243">
        <f t="shared" si="55"/>
        <v>0.22493087602526204</v>
      </c>
      <c r="BN48" s="26"/>
      <c r="BO48" s="395"/>
      <c r="BP48" s="395" t="s">
        <v>462</v>
      </c>
      <c r="BQ48" s="396" t="s">
        <v>19</v>
      </c>
      <c r="BR48" s="461">
        <f t="shared" ref="BR48:CQ48" si="56">AM198</f>
        <v>0</v>
      </c>
      <c r="BS48" s="461">
        <f t="shared" si="56"/>
        <v>5714</v>
      </c>
      <c r="BT48" s="461">
        <f t="shared" si="56"/>
        <v>12079.396000000001</v>
      </c>
      <c r="BU48" s="461">
        <f t="shared" si="56"/>
        <v>19170.447144000002</v>
      </c>
      <c r="BV48" s="461">
        <f t="shared" si="56"/>
        <v>27069.878118416003</v>
      </c>
      <c r="BW48" s="461">
        <f t="shared" si="56"/>
        <v>35869.844223915432</v>
      </c>
      <c r="BX48" s="461">
        <f t="shared" si="56"/>
        <v>45673.006465441795</v>
      </c>
      <c r="BY48" s="461">
        <f t="shared" si="56"/>
        <v>56593.72920250216</v>
      </c>
      <c r="BZ48" s="461">
        <f t="shared" si="56"/>
        <v>68759.41433158741</v>
      </c>
      <c r="CA48" s="461">
        <f t="shared" si="56"/>
        <v>82311.987565388379</v>
      </c>
      <c r="CB48" s="461">
        <f t="shared" si="56"/>
        <v>97409.55414784266</v>
      </c>
      <c r="CC48" s="461">
        <f t="shared" si="56"/>
        <v>97409.55414784266</v>
      </c>
      <c r="CD48" s="461">
        <f t="shared" si="56"/>
        <v>97409.55414784266</v>
      </c>
      <c r="CE48" s="461">
        <f t="shared" si="56"/>
        <v>97409.55414784266</v>
      </c>
      <c r="CF48" s="461">
        <f t="shared" si="56"/>
        <v>97409.55414784266</v>
      </c>
      <c r="CG48" s="461">
        <f t="shared" si="56"/>
        <v>97409.55414784266</v>
      </c>
      <c r="CH48" s="461">
        <f t="shared" si="56"/>
        <v>97409.55414784266</v>
      </c>
      <c r="CI48" s="461">
        <f t="shared" si="56"/>
        <v>97409.55414784266</v>
      </c>
      <c r="CJ48" s="461">
        <f t="shared" si="56"/>
        <v>97409.55414784266</v>
      </c>
      <c r="CK48" s="461">
        <f t="shared" si="56"/>
        <v>97409.55414784266</v>
      </c>
      <c r="CL48" s="461">
        <f t="shared" si="56"/>
        <v>97409.55414784266</v>
      </c>
      <c r="CM48" s="461">
        <f t="shared" si="56"/>
        <v>97409.55414784266</v>
      </c>
      <c r="CN48" s="461">
        <f t="shared" si="56"/>
        <v>97409.55414784266</v>
      </c>
      <c r="CO48" s="461">
        <f t="shared" si="56"/>
        <v>97409.55414784266</v>
      </c>
      <c r="CP48" s="461">
        <f t="shared" si="56"/>
        <v>97409.55414784266</v>
      </c>
      <c r="CQ48" s="462">
        <f t="shared" si="56"/>
        <v>97409.55414784266</v>
      </c>
    </row>
    <row r="49" spans="2:64" ht="15" customHeight="1" outlineLevel="1" x14ac:dyDescent="0.25">
      <c r="B49" s="4"/>
      <c r="C49" s="11"/>
      <c r="D49" s="220" t="s">
        <v>198</v>
      </c>
      <c r="E49" s="21"/>
      <c r="F49" s="339" t="s">
        <v>19</v>
      </c>
      <c r="G49" s="221">
        <f>'Utility Calc'!G36/G58</f>
        <v>3.8654246575342464E-2</v>
      </c>
      <c r="H49" s="221">
        <f>('Utility Calc'!H36/H58)</f>
        <v>4.1164795899602764E-2</v>
      </c>
      <c r="I49" s="221">
        <f>('Utility Calc'!I36/I58)</f>
        <v>4.3838284236149022E-2</v>
      </c>
      <c r="J49" s="221">
        <f>('Utility Calc'!J36/J58)</f>
        <v>4.6685270372420533E-2</v>
      </c>
      <c r="K49" s="221">
        <f>('Utility Calc'!K36/K58)</f>
        <v>4.9716994992834926E-2</v>
      </c>
      <c r="L49" s="221">
        <f>('Utility Calc'!L36/L58)</f>
        <v>5.2945424359339764E-2</v>
      </c>
      <c r="M49" s="221">
        <f>('Utility Calc'!M36/M58)</f>
        <v>5.6383296730975967E-2</v>
      </c>
      <c r="N49" s="221">
        <f>('Utility Calc'!N36/N58)</f>
        <v>6.0044171683469288E-2</v>
      </c>
      <c r="O49" s="221">
        <f>('Utility Calc'!O36/O58)</f>
        <v>6.3942482497146583E-2</v>
      </c>
      <c r="P49" s="221">
        <f>('Utility Calc'!P36/P58)</f>
        <v>6.809359178856586E-2</v>
      </c>
      <c r="Q49" s="221">
        <f>('Utility Calc'!Q36/Q58)</f>
        <v>7.2513850567987093E-2</v>
      </c>
      <c r="R49" s="221">
        <f>('Utility Calc'!R36/R58)</f>
        <v>7.722728060273519E-2</v>
      </c>
      <c r="S49" s="221">
        <f>('Utility Calc'!S36/S58)</f>
        <v>8.2247085548842691E-2</v>
      </c>
      <c r="T49" s="221">
        <f>('Utility Calc'!T36/T58)</f>
        <v>8.7593179904484259E-2</v>
      </c>
      <c r="U49" s="221">
        <f>('Utility Calc'!U36/U58)</f>
        <v>9.3286772618696223E-2</v>
      </c>
      <c r="V49" s="221">
        <f>('Utility Calc'!V36/V58)</f>
        <v>9.9350451231239825E-2</v>
      </c>
      <c r="W49" s="221">
        <f>('Utility Calc'!W36/W58)</f>
        <v>0.10580827148159243</v>
      </c>
      <c r="X49" s="221">
        <f>('Utility Calc'!X36/X58)</f>
        <v>0.11268585274256192</v>
      </c>
      <c r="Y49" s="221">
        <f>('Utility Calc'!Y36/Y58)</f>
        <v>0.12001047965712792</v>
      </c>
      <c r="Z49" s="221">
        <f>('Utility Calc'!Z36/Z58)</f>
        <v>0.12781121038172175</v>
      </c>
      <c r="AA49" s="221">
        <f>('Utility Calc'!AA36/AA58)</f>
        <v>0.13611899186536675</v>
      </c>
      <c r="AB49" s="221">
        <f>('Utility Calc'!AB36/AB58)</f>
        <v>0.14496678262201343</v>
      </c>
      <c r="AC49" s="221">
        <f>('Utility Calc'!AC36/AC58)</f>
        <v>0.1543896834831294</v>
      </c>
      <c r="AD49" s="221">
        <f>('Utility Calc'!AD36/AD58)</f>
        <v>0.16442507684926544</v>
      </c>
      <c r="AE49" s="221">
        <f>('Utility Calc'!AE36/AE58)</f>
        <v>0.17511277499303357</v>
      </c>
      <c r="AF49" s="222">
        <f>('Utility Calc'!AF36/AF58)</f>
        <v>0.18649517800184415</v>
      </c>
      <c r="AH49" s="4"/>
      <c r="AI49" s="11"/>
      <c r="AJ49" s="220" t="s">
        <v>198</v>
      </c>
      <c r="AK49" s="21"/>
      <c r="AL49" s="339" t="s">
        <v>19</v>
      </c>
      <c r="AM49" s="221">
        <f>('Utility Calc'!G37/AM58)*(1+(G158+AM158))</f>
        <v>3.8654246575342471E-2</v>
      </c>
      <c r="AN49" s="221">
        <f>('Utility Calc'!H37/AN58)*(1+(H158+AN158))</f>
        <v>4.0933052929558227E-2</v>
      </c>
      <c r="AO49" s="221">
        <f>('Utility Calc'!I37/AO58)*(1+(I158+AO158))</f>
        <v>4.3826071689131087E-2</v>
      </c>
      <c r="AP49" s="221">
        <f>('Utility Calc'!J37/AP58)*(1+(J158+AP158))</f>
        <v>4.6671477768051507E-2</v>
      </c>
      <c r="AQ49" s="221">
        <f>('Utility Calc'!K37/AQ58)*(1+(K158+AQ158))</f>
        <v>4.9701405696260199E-2</v>
      </c>
      <c r="AR49" s="221">
        <f>('Utility Calc'!L37/AR58)*(1+(L158+AR158))</f>
        <v>5.2927790008627858E-2</v>
      </c>
      <c r="AS49" s="221">
        <f>('Utility Calc'!M37/AS58)*(1+(M158+AS158))</f>
        <v>5.636333220319828E-2</v>
      </c>
      <c r="AT49" s="221">
        <f>('Utility Calc'!N37/AT58)*(1+(N158+AT158))</f>
        <v>6.0021549181433549E-2</v>
      </c>
      <c r="AU49" s="221">
        <f>('Utility Calc'!O37/AU58)*(1+(O158+AU158))</f>
        <v>6.3916824585362117E-2</v>
      </c>
      <c r="AV49" s="221">
        <f>('Utility Calc'!P37/AV58)*(1+(P158+AV158))</f>
        <v>6.8064463169436082E-2</v>
      </c>
      <c r="AW49" s="221">
        <f>('Utility Calc'!Q37/AW58)*(1+(Q158+AW158))</f>
        <v>7.2480748342361775E-2</v>
      </c>
      <c r="AX49" s="221">
        <f>('Utility Calc'!R37/AX58)*(1+(R158+AX158))</f>
        <v>7.7748219060906829E-2</v>
      </c>
      <c r="AY49" s="221">
        <f>('Utility Calc'!S37/AY58)*(1+(S158+AY158))</f>
        <v>8.2247085548842677E-2</v>
      </c>
      <c r="AZ49" s="221">
        <f>('Utility Calc'!T37/AZ58)*(1+(T158+AZ158))</f>
        <v>8.7593179904484245E-2</v>
      </c>
      <c r="BA49" s="221">
        <f>('Utility Calc'!U37/BA58)*(1+(U158+BA158))</f>
        <v>9.3286772618696168E-2</v>
      </c>
      <c r="BB49" s="221">
        <f>('Utility Calc'!V37/BB58)*(1+(V158+BB158))</f>
        <v>9.9350451231239811E-2</v>
      </c>
      <c r="BC49" s="221">
        <f>('Utility Calc'!W37/BC58)*(1+(W158+BC158))</f>
        <v>0.10580827148159241</v>
      </c>
      <c r="BD49" s="221">
        <f>('Utility Calc'!X37/BD58)*(1+(X158+BD158))</f>
        <v>0.11268585274256188</v>
      </c>
      <c r="BE49" s="221">
        <f>('Utility Calc'!Y37/BE58)*(1+(Y158+BE158))</f>
        <v>0.12001047965712792</v>
      </c>
      <c r="BF49" s="221">
        <f>('Utility Calc'!Z37/BF58)*(1+(Z158+BF158))</f>
        <v>0.12781121038172172</v>
      </c>
      <c r="BG49" s="221">
        <f>('Utility Calc'!AA37/BG58)*(1+(AA158+BG158))</f>
        <v>0.13611899186536675</v>
      </c>
      <c r="BH49" s="221">
        <f>('Utility Calc'!AB37/BH58)*(1+(AB158+BH158))</f>
        <v>0.14496678262201335</v>
      </c>
      <c r="BI49" s="221">
        <f>('Utility Calc'!AC37/BI58)*(1+(AC158+BI158))</f>
        <v>0.15438968348312943</v>
      </c>
      <c r="BJ49" s="221">
        <f>('Utility Calc'!AD37/BJ58)*(1+(AD158+BJ158))</f>
        <v>0.16442507684926544</v>
      </c>
      <c r="BK49" s="221">
        <f>('Utility Calc'!AE37/BK58)*(1+(AE158+BK158))</f>
        <v>0.1751127749930336</v>
      </c>
      <c r="BL49" s="222">
        <f>('Utility Calc'!AF37/BL58)*(1+(AF158+BL158))</f>
        <v>0.18649517800184412</v>
      </c>
    </row>
    <row r="50" spans="2:64" ht="15" customHeight="1" outlineLevel="1" x14ac:dyDescent="0.25">
      <c r="B50" s="4"/>
      <c r="C50" s="11"/>
      <c r="D50" s="220"/>
      <c r="E50" s="21" t="s">
        <v>78</v>
      </c>
      <c r="F50" s="339" t="s">
        <v>19</v>
      </c>
      <c r="G50" s="221">
        <v>0</v>
      </c>
      <c r="H50" s="223">
        <f>H49-H54</f>
        <v>-1.9767031369591348E-6</v>
      </c>
      <c r="I50" s="223">
        <f t="shared" ref="I50:AF50" si="57">I49-I54</f>
        <v>-4.32858576879247E-6</v>
      </c>
      <c r="J50" s="223">
        <f t="shared" si="57"/>
        <v>-7.1122829219325001E-6</v>
      </c>
      <c r="K50" s="223">
        <f t="shared" si="57"/>
        <v>-1.0392535104798706E-5</v>
      </c>
      <c r="L50" s="223">
        <f t="shared" si="57"/>
        <v>-1.4243357916034205E-5</v>
      </c>
      <c r="M50" s="223">
        <f t="shared" si="57"/>
        <v>-1.8749387901452474E-5</v>
      </c>
      <c r="N50" s="223">
        <f t="shared" si="57"/>
        <v>-2.4007433135166123E-5</v>
      </c>
      <c r="O50" s="223">
        <f t="shared" si="57"/>
        <v>-3.0128262037160125E-5</v>
      </c>
      <c r="P50" s="223">
        <f t="shared" si="57"/>
        <v>-3.7238669964828608E-5</v>
      </c>
      <c r="Q50" s="223">
        <f t="shared" si="57"/>
        <v>-4.548387034808421E-5</v>
      </c>
      <c r="R50" s="223">
        <f t="shared" si="57"/>
        <v>-4.8410574091745096E-5</v>
      </c>
      <c r="S50" s="223">
        <f t="shared" si="57"/>
        <v>-5.1525554478001889E-5</v>
      </c>
      <c r="T50" s="223">
        <f t="shared" si="57"/>
        <v>-5.4840920552273742E-5</v>
      </c>
      <c r="U50" s="223">
        <f t="shared" si="57"/>
        <v>-5.8369559967672013E-5</v>
      </c>
      <c r="V50" s="223">
        <f t="shared" si="57"/>
        <v>-6.2125189037226525E-5</v>
      </c>
      <c r="W50" s="223">
        <f t="shared" si="57"/>
        <v>-6.6122406002649958E-5</v>
      </c>
      <c r="X50" s="223">
        <f t="shared" si="57"/>
        <v>-7.0376747726821898E-5</v>
      </c>
      <c r="Y50" s="223">
        <f t="shared" si="57"/>
        <v>-7.4904750029594624E-5</v>
      </c>
      <c r="Z50" s="223">
        <f t="shared" si="57"/>
        <v>-7.9724011900983438E-5</v>
      </c>
      <c r="AA50" s="223">
        <f t="shared" si="57"/>
        <v>-8.4853263841472293E-5</v>
      </c>
      <c r="AB50" s="223">
        <f t="shared" si="57"/>
        <v>-9.0312440593293131E-5</v>
      </c>
      <c r="AC50" s="223">
        <f t="shared" si="57"/>
        <v>-9.6122758546784981E-5</v>
      </c>
      <c r="AD50" s="223">
        <f t="shared" si="57"/>
        <v>-1.0230679811967791E-4</v>
      </c>
      <c r="AE50" s="223">
        <f t="shared" si="57"/>
        <v>-1.0888859143157181E-4</v>
      </c>
      <c r="AF50" s="291">
        <f t="shared" si="57"/>
        <v>-1.1589371561124273E-4</v>
      </c>
      <c r="AH50" s="4"/>
      <c r="AI50" s="11"/>
      <c r="AJ50" s="220"/>
      <c r="AK50" s="21" t="s">
        <v>78</v>
      </c>
      <c r="AL50" s="339" t="s">
        <v>19</v>
      </c>
      <c r="AM50" s="221">
        <v>0</v>
      </c>
      <c r="AN50" s="223">
        <f>AN49-AN54</f>
        <v>-2.3371967318149695E-4</v>
      </c>
      <c r="AO50" s="223">
        <f t="shared" ref="AO50:BL50" si="58">AO49-AO54</f>
        <v>-1.6541132786727919E-5</v>
      </c>
      <c r="AP50" s="223">
        <f t="shared" si="58"/>
        <v>-2.090488729095813E-5</v>
      </c>
      <c r="AQ50" s="223">
        <f t="shared" si="58"/>
        <v>-2.598183167951823E-5</v>
      </c>
      <c r="AR50" s="223">
        <f t="shared" si="58"/>
        <v>-3.1877708627940649E-5</v>
      </c>
      <c r="AS50" s="223">
        <f t="shared" si="58"/>
        <v>-3.8713915679139399E-5</v>
      </c>
      <c r="AT50" s="223">
        <f t="shared" si="58"/>
        <v>-4.6629935170905412E-5</v>
      </c>
      <c r="AU50" s="223">
        <f t="shared" si="58"/>
        <v>-5.5786173821639751E-5</v>
      </c>
      <c r="AV50" s="223">
        <f t="shared" si="58"/>
        <v>-6.6367289094593218E-5</v>
      </c>
      <c r="AW50" s="223">
        <f t="shared" si="58"/>
        <v>-7.8586095973401382E-5</v>
      </c>
      <c r="AX50" s="223">
        <f t="shared" si="58"/>
        <v>4.7252788407989299E-4</v>
      </c>
      <c r="AY50" s="223">
        <f t="shared" si="58"/>
        <v>-5.1525554478029645E-5</v>
      </c>
      <c r="AZ50" s="223">
        <f t="shared" si="58"/>
        <v>-5.4840920552273742E-5</v>
      </c>
      <c r="BA50" s="223">
        <f t="shared" si="58"/>
        <v>-5.8369559967741402E-5</v>
      </c>
      <c r="BB50" s="223">
        <f t="shared" si="58"/>
        <v>-6.212518903725428E-5</v>
      </c>
      <c r="BC50" s="223">
        <f t="shared" si="58"/>
        <v>-6.6122406002663836E-5</v>
      </c>
      <c r="BD50" s="223">
        <f t="shared" si="58"/>
        <v>-7.0376747726849653E-5</v>
      </c>
      <c r="BE50" s="223">
        <f t="shared" si="58"/>
        <v>-7.4904750029594624E-5</v>
      </c>
      <c r="BF50" s="223">
        <f t="shared" si="58"/>
        <v>-7.9724011900983438E-5</v>
      </c>
      <c r="BG50" s="223">
        <f t="shared" si="58"/>
        <v>-8.4853263841500048E-5</v>
      </c>
      <c r="BH50" s="223">
        <f t="shared" si="58"/>
        <v>-9.0312440593404153E-5</v>
      </c>
      <c r="BI50" s="223">
        <f t="shared" si="58"/>
        <v>-9.6122758546757225E-5</v>
      </c>
      <c r="BJ50" s="223">
        <f t="shared" si="58"/>
        <v>-1.0230679811970567E-4</v>
      </c>
      <c r="BK50" s="223">
        <f t="shared" si="58"/>
        <v>-1.0888859143154406E-4</v>
      </c>
      <c r="BL50" s="291">
        <f t="shared" si="58"/>
        <v>-1.1589371561124273E-4</v>
      </c>
    </row>
    <row r="51" spans="2:64" ht="15" customHeight="1" outlineLevel="1" x14ac:dyDescent="0.25">
      <c r="B51" s="4"/>
      <c r="C51" s="339"/>
      <c r="D51" s="220" t="s">
        <v>197</v>
      </c>
      <c r="E51" s="21"/>
      <c r="F51" s="339" t="s">
        <v>19</v>
      </c>
      <c r="G51" s="221">
        <f>'Utility Calc'!G54/G58</f>
        <v>8.1166913785641837E-2</v>
      </c>
      <c r="H51" s="221">
        <f>'Utility Calc'!H54/'Customer Calc'!H58</f>
        <v>8.3271951251429735E-2</v>
      </c>
      <c r="I51" s="221">
        <f>'Utility Calc'!I54/'Customer Calc'!I58</f>
        <v>8.4002095896502024E-2</v>
      </c>
      <c r="J51" s="221">
        <f>'Utility Calc'!J54/'Customer Calc'!J58</f>
        <v>8.4798737322284268E-2</v>
      </c>
      <c r="K51" s="221">
        <f>'Utility Calc'!K54/'Customer Calc'!K58</f>
        <v>8.5665151131305697E-2</v>
      </c>
      <c r="L51" s="221">
        <f>'Utility Calc'!L54/'Customer Calc'!L58</f>
        <v>8.6604785195704012E-2</v>
      </c>
      <c r="M51" s="221">
        <f>'Utility Calc'!M54/'Customer Calc'!M58</f>
        <v>8.7621268636771193E-2</v>
      </c>
      <c r="N51" s="221">
        <f>'Utility Calc'!N54/'Customer Calc'!N58</f>
        <v>8.8718421271349532E-2</v>
      </c>
      <c r="O51" s="221">
        <f>'Utility Calc'!O54/'Customer Calc'!O58</f>
        <v>8.9900263549303444E-2</v>
      </c>
      <c r="P51" s="221">
        <f>'Utility Calc'!P54/'Customer Calc'!P58</f>
        <v>9.1171027007546548E-2</v>
      </c>
      <c r="Q51" s="221">
        <f>'Utility Calc'!Q54/'Customer Calc'!Q58</f>
        <v>9.2535165267422434E-2</v>
      </c>
      <c r="R51" s="221">
        <f>'Utility Calc'!R54/'Customer Calc'!R58</f>
        <v>9.3794393218156399E-2</v>
      </c>
      <c r="S51" s="221">
        <f>'Utility Calc'!S54/'Customer Calc'!S58</f>
        <v>9.5150874276682285E-2</v>
      </c>
      <c r="T51" s="221">
        <f>'Utility Calc'!T54/'Customer Calc'!T58</f>
        <v>9.6609147677302637E-2</v>
      </c>
      <c r="U51" s="221">
        <f>'Utility Calc'!U54/'Customer Calc'!U58</f>
        <v>9.817398446588034E-2</v>
      </c>
      <c r="V51" s="221">
        <f>'Utility Calc'!V54/'Customer Calc'!V58</f>
        <v>9.9850399128323941E-2</v>
      </c>
      <c r="W51" s="221">
        <f>'Utility Calc'!W54/'Customer Calc'!W58</f>
        <v>0.10164366180412032</v>
      </c>
      <c r="X51" s="221">
        <f>'Utility Calc'!X54/'Customer Calc'!X58</f>
        <v>0.10355931111434025</v>
      </c>
      <c r="Y51" s="221">
        <f>'Utility Calc'!Y54/'Customer Calc'!Y58</f>
        <v>0.105603167635024</v>
      </c>
      <c r="Z51" s="221">
        <f>'Utility Calc'!Z54/'Customer Calc'!Z58</f>
        <v>0.10778134804840685</v>
      </c>
      <c r="AA51" s="221">
        <f>'Utility Calc'!AA54/'Customer Calc'!AA58</f>
        <v>0.11010028000607766</v>
      </c>
      <c r="AB51" s="221">
        <f>'Utility Calc'!AB54/'Customer Calc'!AB58</f>
        <v>0.11256671773987892</v>
      </c>
      <c r="AC51" s="221">
        <f>'Utility Calc'!AC54/'Customer Calc'!AC58</f>
        <v>0.11518775845815679</v>
      </c>
      <c r="AD51" s="221">
        <f>'Utility Calc'!AD54/'Customer Calc'!AD58</f>
        <v>0.11797085956686075</v>
      </c>
      <c r="AE51" s="221">
        <f>'Utility Calc'!AE54/'Customer Calc'!AE58</f>
        <v>0.12092385675698181</v>
      </c>
      <c r="AF51" s="222">
        <f>'Utility Calc'!AF54/'Customer Calc'!AF58</f>
        <v>0.12405498300190036</v>
      </c>
      <c r="AH51" s="4"/>
      <c r="AI51" s="339"/>
      <c r="AJ51" s="220" t="s">
        <v>197</v>
      </c>
      <c r="AK51" s="21"/>
      <c r="AL51" s="339" t="s">
        <v>19</v>
      </c>
      <c r="AM51" s="221">
        <f>'Utility Calc'!G56/AM58</f>
        <v>2.2887062054992524E-2</v>
      </c>
      <c r="AN51" s="221">
        <f>'Utility Calc'!H56/AN58</f>
        <v>2.3585539048788455E-2</v>
      </c>
      <c r="AO51" s="221">
        <f>'Utility Calc'!I56/AO58</f>
        <v>2.3904912636143982E-2</v>
      </c>
      <c r="AP51" s="221">
        <f>'Utility Calc'!J56/AP58</f>
        <v>2.4252554660026536E-2</v>
      </c>
      <c r="AQ51" s="221">
        <f>'Utility Calc'!K56/AQ58</f>
        <v>2.463043924968614E-2</v>
      </c>
      <c r="AR51" s="221">
        <f>'Utility Calc'!L56/AR58</f>
        <v>2.5040719586624356E-2</v>
      </c>
      <c r="AS51" s="221">
        <f>'Utility Calc'!M56/AS58</f>
        <v>2.5485748424340361E-2</v>
      </c>
      <c r="AT51" s="221">
        <f>'Utility Calc'!N56/AT58</f>
        <v>2.5968101522742443E-2</v>
      </c>
      <c r="AU51" s="221">
        <f>'Utility Calc'!O56/AU58</f>
        <v>2.6490604493565911E-2</v>
      </c>
      <c r="AV51" s="221">
        <f>'Utility Calc'!P56/AV58</f>
        <v>2.7056363652113575E-2</v>
      </c>
      <c r="AW51" s="221">
        <f>'Utility Calc'!Q56/AW58</f>
        <v>2.7668801592371822E-2</v>
      </c>
      <c r="AX51" s="221">
        <f>'Utility Calc'!R56/AX58</f>
        <v>2.811185840460113E-2</v>
      </c>
      <c r="AY51" s="221">
        <f>'Utility Calc'!S56/AY58</f>
        <v>2.8586079416066539E-2</v>
      </c>
      <c r="AZ51" s="221">
        <f>'Utility Calc'!T56/AZ58</f>
        <v>2.9093046276945578E-2</v>
      </c>
      <c r="BA51" s="221">
        <f>'Utility Calc'!U56/BA58</f>
        <v>2.96344245912121E-2</v>
      </c>
      <c r="BB51" s="221">
        <f>'Utility Calc'!V56/BB58</f>
        <v>3.0211968346055301E-2</v>
      </c>
      <c r="BC51" s="221">
        <f>'Utility Calc'!W56/BC58</f>
        <v>3.0827524575109601E-2</v>
      </c>
      <c r="BD51" s="221">
        <f>'Utility Calc'!X56/BD58</f>
        <v>3.1483038267838201E-2</v>
      </c>
      <c r="BE51" s="221">
        <f>'Utility Calc'!Y56/BE58</f>
        <v>3.2180557538064695E-2</v>
      </c>
      <c r="BF51" s="221">
        <f>'Utility Calc'!Z56/BF58</f>
        <v>3.2922239065332974E-2</v>
      </c>
      <c r="BG51" s="221">
        <f>'Utility Calc'!AA56/BG58</f>
        <v>3.3710353823497831E-2</v>
      </c>
      <c r="BH51" s="221">
        <f>'Utility Calc'!AB56/BH58</f>
        <v>3.4547293111708913E-2</v>
      </c>
      <c r="BI51" s="221">
        <f>'Utility Calc'!AC56/BI58</f>
        <v>3.5435574903751405E-2</v>
      </c>
      <c r="BJ51" s="221">
        <f>'Utility Calc'!AD56/BJ58</f>
        <v>3.6377850532548418E-2</v>
      </c>
      <c r="BK51" s="221">
        <f>'Utility Calc'!AE56/BK58</f>
        <v>3.7376911727519085E-2</v>
      </c>
      <c r="BL51" s="222">
        <f>'Utility Calc'!AF56/BL58</f>
        <v>3.8435698023417925E-2</v>
      </c>
    </row>
    <row r="52" spans="2:64" ht="15" customHeight="1" outlineLevel="1" x14ac:dyDescent="0.25">
      <c r="B52" s="4"/>
      <c r="C52" s="339"/>
      <c r="D52" s="220"/>
      <c r="E52" s="11" t="s">
        <v>204</v>
      </c>
      <c r="F52" s="339" t="s">
        <v>19</v>
      </c>
      <c r="G52" s="221">
        <v>0</v>
      </c>
      <c r="H52" s="223">
        <f>H51-H55</f>
        <v>1.8482297102750955E-4</v>
      </c>
      <c r="I52" s="223">
        <f t="shared" ref="I52:AF52" si="59">I51-I55</f>
        <v>3.7196772266452627E-4</v>
      </c>
      <c r="J52" s="223">
        <f t="shared" si="59"/>
        <v>5.6185544595761805E-4</v>
      </c>
      <c r="K52" s="223">
        <f t="shared" si="59"/>
        <v>7.5493199544965361E-4</v>
      </c>
      <c r="L52" s="223">
        <f t="shared" si="59"/>
        <v>9.5166946198188551E-4</v>
      </c>
      <c r="M52" s="223">
        <f t="shared" si="59"/>
        <v>1.152567838939994E-3</v>
      </c>
      <c r="N52" s="223">
        <f t="shared" si="59"/>
        <v>1.3581567873533762E-3</v>
      </c>
      <c r="O52" s="223">
        <f t="shared" si="59"/>
        <v>1.5689975055625666E-3</v>
      </c>
      <c r="P52" s="223">
        <f t="shared" si="59"/>
        <v>1.7856847094933348E-3</v>
      </c>
      <c r="Q52" s="223">
        <f t="shared" si="59"/>
        <v>2.0088487299175367E-3</v>
      </c>
      <c r="R52" s="223">
        <f t="shared" si="59"/>
        <v>2.0361853479718417E-3</v>
      </c>
      <c r="S52" s="223">
        <f t="shared" si="59"/>
        <v>2.0656332367144925E-3</v>
      </c>
      <c r="T52" s="223">
        <f t="shared" si="59"/>
        <v>2.0972909385216093E-3</v>
      </c>
      <c r="U52" s="223">
        <f t="shared" si="59"/>
        <v>2.131262028173625E-3</v>
      </c>
      <c r="V52" s="223">
        <f t="shared" si="59"/>
        <v>2.1676553652982961E-3</v>
      </c>
      <c r="W52" s="223">
        <f t="shared" si="59"/>
        <v>2.2065853595147622E-3</v>
      </c>
      <c r="X52" s="223">
        <f t="shared" si="59"/>
        <v>2.248172248917088E-3</v>
      </c>
      <c r="Y52" s="223">
        <f t="shared" si="59"/>
        <v>2.2925423925683613E-3</v>
      </c>
      <c r="Z52" s="223">
        <f t="shared" si="59"/>
        <v>2.3398285777100902E-3</v>
      </c>
      <c r="AA52" s="223">
        <f t="shared" si="59"/>
        <v>2.3901703424269727E-3</v>
      </c>
      <c r="AB52" s="223">
        <f t="shared" si="59"/>
        <v>2.4437143145444734E-3</v>
      </c>
      <c r="AC52" s="223">
        <f t="shared" si="59"/>
        <v>2.5006145675753877E-3</v>
      </c>
      <c r="AD52" s="223">
        <f t="shared" si="59"/>
        <v>2.5610329945733312E-3</v>
      </c>
      <c r="AE52" s="223">
        <f t="shared" si="59"/>
        <v>2.625139700793408E-3</v>
      </c>
      <c r="AF52" s="291">
        <f t="shared" si="59"/>
        <v>2.6931134161062853E-3</v>
      </c>
      <c r="AH52" s="4"/>
      <c r="AI52" s="339"/>
      <c r="AJ52" s="220"/>
      <c r="AK52" s="11" t="s">
        <v>204</v>
      </c>
      <c r="AL52" s="339" t="s">
        <v>19</v>
      </c>
      <c r="AM52" s="221">
        <v>0</v>
      </c>
      <c r="AN52" s="223">
        <f>AN51-AN55</f>
        <v>1.0144033645303682E-4</v>
      </c>
      <c r="AO52" s="223">
        <f t="shared" ref="AO52:BL52" si="60">AO51-AO55</f>
        <v>2.1125847361146491E-4</v>
      </c>
      <c r="AP52" s="223">
        <f>AP51-AP55</f>
        <v>3.3037764815582044E-4</v>
      </c>
      <c r="AQ52" s="223">
        <f t="shared" si="60"/>
        <v>4.5983469688422665E-4</v>
      </c>
      <c r="AR52" s="223">
        <f t="shared" si="60"/>
        <v>6.0079557556348348E-4</v>
      </c>
      <c r="AS52" s="223">
        <f t="shared" si="60"/>
        <v>7.5457324490331087E-4</v>
      </c>
      <c r="AT52" s="223">
        <f t="shared" si="60"/>
        <v>9.2264833217734279E-4</v>
      </c>
      <c r="AU52" s="223">
        <f t="shared" si="60"/>
        <v>1.1066930574927664E-3</v>
      </c>
      <c r="AV52" s="223">
        <f t="shared" si="60"/>
        <v>1.3085990122983816E-3</v>
      </c>
      <c r="AW52" s="223">
        <f t="shared" si="60"/>
        <v>1.5305094990497939E-3</v>
      </c>
      <c r="AX52" s="223">
        <f t="shared" si="60"/>
        <v>1.555017342567043E-3</v>
      </c>
      <c r="AY52" s="223">
        <f t="shared" si="60"/>
        <v>1.5812490447343272E-3</v>
      </c>
      <c r="AZ52" s="223">
        <f t="shared" si="60"/>
        <v>1.6092920950879323E-3</v>
      </c>
      <c r="BA52" s="223">
        <f t="shared" si="60"/>
        <v>1.6392386270979338E-3</v>
      </c>
      <c r="BB52" s="223">
        <f t="shared" si="60"/>
        <v>1.671185663183087E-3</v>
      </c>
      <c r="BC52" s="223">
        <f t="shared" si="60"/>
        <v>1.7052353726590003E-3</v>
      </c>
      <c r="BD52" s="223">
        <f t="shared" si="60"/>
        <v>1.7414953433024342E-3</v>
      </c>
      <c r="BE52" s="223">
        <f t="shared" si="60"/>
        <v>1.780078867250439E-3</v>
      </c>
      <c r="BF52" s="223">
        <f t="shared" si="60"/>
        <v>1.8211052419911042E-3</v>
      </c>
      <c r="BG52" s="223">
        <f t="shared" si="60"/>
        <v>1.8647000872425643E-3</v>
      </c>
      <c r="BH52" s="223">
        <f t="shared" si="60"/>
        <v>1.9109956785589577E-3</v>
      </c>
      <c r="BI52" s="223">
        <f t="shared" si="60"/>
        <v>1.9601312985465247E-3</v>
      </c>
      <c r="BJ52" s="223">
        <f t="shared" si="60"/>
        <v>2.0122536066191146E-3</v>
      </c>
      <c r="BK52" s="223">
        <f t="shared" si="60"/>
        <v>2.067517028272188E-3</v>
      </c>
      <c r="BL52" s="291">
        <f t="shared" si="60"/>
        <v>2.1260841649053744E-3</v>
      </c>
    </row>
    <row r="53" spans="2:64" ht="15" customHeight="1" outlineLevel="1" x14ac:dyDescent="0.25">
      <c r="B53" s="4"/>
      <c r="C53" s="51" t="s">
        <v>193</v>
      </c>
      <c r="D53" s="51"/>
      <c r="E53" s="51"/>
      <c r="F53" s="52" t="s">
        <v>8</v>
      </c>
      <c r="G53" s="53">
        <f t="shared" ref="G53:AF53" si="61">SUM(G54,G55)</f>
        <v>0.11982116036098431</v>
      </c>
      <c r="H53" s="53">
        <f t="shared" si="61"/>
        <v>0.12425390088314195</v>
      </c>
      <c r="I53" s="53">
        <f t="shared" si="61"/>
        <v>0.12747274099575531</v>
      </c>
      <c r="J53" s="53">
        <f t="shared" si="61"/>
        <v>0.13092926453166912</v>
      </c>
      <c r="K53" s="53">
        <f t="shared" si="61"/>
        <v>0.13463760666379576</v>
      </c>
      <c r="L53" s="53">
        <f t="shared" si="61"/>
        <v>0.13861278345097794</v>
      </c>
      <c r="M53" s="53">
        <f t="shared" si="61"/>
        <v>0.14287074691670862</v>
      </c>
      <c r="N53" s="53">
        <f t="shared" si="61"/>
        <v>0.14742844360060062</v>
      </c>
      <c r="O53" s="53">
        <f t="shared" si="61"/>
        <v>0.15230387680292462</v>
      </c>
      <c r="P53" s="53">
        <f t="shared" si="61"/>
        <v>0.15751617275658392</v>
      </c>
      <c r="Q53" s="53">
        <f t="shared" si="61"/>
        <v>0.16308565097584007</v>
      </c>
      <c r="R53" s="53">
        <f t="shared" si="61"/>
        <v>0.16903389904701149</v>
      </c>
      <c r="S53" s="53">
        <f t="shared" si="61"/>
        <v>0.1753838521432885</v>
      </c>
      <c r="T53" s="53">
        <f t="shared" si="61"/>
        <v>0.18215987756381757</v>
      </c>
      <c r="U53" s="53">
        <f t="shared" si="61"/>
        <v>0.18938786461637061</v>
      </c>
      <c r="V53" s="53">
        <f t="shared" si="61"/>
        <v>0.1970953201833027</v>
      </c>
      <c r="W53" s="53">
        <f t="shared" si="61"/>
        <v>0.20531147033220065</v>
      </c>
      <c r="X53" s="53">
        <f t="shared" si="61"/>
        <v>0.21406736835571188</v>
      </c>
      <c r="Y53" s="53">
        <f t="shared" si="61"/>
        <v>0.22339600964961315</v>
      </c>
      <c r="Z53" s="53">
        <f t="shared" si="61"/>
        <v>0.2333324538643195</v>
      </c>
      <c r="AA53" s="53">
        <f t="shared" si="61"/>
        <v>0.24391395479285891</v>
      </c>
      <c r="AB53" s="53">
        <f t="shared" si="61"/>
        <v>0.25518009848794115</v>
      </c>
      <c r="AC53" s="53">
        <f t="shared" si="61"/>
        <v>0.26717295013225761</v>
      </c>
      <c r="AD53" s="53">
        <f t="shared" si="61"/>
        <v>0.27993721021967255</v>
      </c>
      <c r="AE53" s="53">
        <f t="shared" si="61"/>
        <v>0.29352038064065356</v>
      </c>
      <c r="AF53" s="54">
        <f t="shared" si="61"/>
        <v>0.30797294130324948</v>
      </c>
      <c r="AH53" s="4"/>
      <c r="AI53" s="51" t="s">
        <v>193</v>
      </c>
      <c r="AJ53" s="51"/>
      <c r="AK53" s="51"/>
      <c r="AL53" s="52" t="s">
        <v>8</v>
      </c>
      <c r="AM53" s="53">
        <f t="shared" ref="AM53:BL53" si="62">SUM(AM54,AM55)</f>
        <v>6.1541308630334995E-2</v>
      </c>
      <c r="AN53" s="53">
        <f t="shared" si="62"/>
        <v>6.4650871315075145E-2</v>
      </c>
      <c r="AO53" s="53">
        <f t="shared" si="62"/>
        <v>6.7536266984450338E-2</v>
      </c>
      <c r="AP53" s="53">
        <f t="shared" si="62"/>
        <v>7.0614559667213181E-2</v>
      </c>
      <c r="AQ53" s="53">
        <f t="shared" si="62"/>
        <v>7.3897992080741631E-2</v>
      </c>
      <c r="AR53" s="53">
        <f t="shared" si="62"/>
        <v>7.7399591728316675E-2</v>
      </c>
      <c r="AS53" s="53">
        <f t="shared" si="62"/>
        <v>8.1133221298314462E-2</v>
      </c>
      <c r="AT53" s="53">
        <f t="shared" si="62"/>
        <v>8.5113632307169562E-2</v>
      </c>
      <c r="AU53" s="53">
        <f t="shared" si="62"/>
        <v>8.9356522195256902E-2</v>
      </c>
      <c r="AV53" s="53">
        <f t="shared" si="62"/>
        <v>9.3878595098345868E-2</v>
      </c>
      <c r="AW53" s="53">
        <f t="shared" si="62"/>
        <v>9.8697626531657201E-2</v>
      </c>
      <c r="AX53" s="53">
        <f t="shared" si="62"/>
        <v>0.10383253223886102</v>
      </c>
      <c r="AY53" s="53">
        <f t="shared" si="62"/>
        <v>0.10930344147465292</v>
      </c>
      <c r="AZ53" s="53">
        <f t="shared" si="62"/>
        <v>0.11513177500689417</v>
      </c>
      <c r="BA53" s="53">
        <f t="shared" si="62"/>
        <v>0.12134032814277808</v>
      </c>
      <c r="BB53" s="53">
        <f t="shared" si="62"/>
        <v>0.12795335910314928</v>
      </c>
      <c r="BC53" s="53">
        <f t="shared" si="62"/>
        <v>0.13499668309004567</v>
      </c>
      <c r="BD53" s="53">
        <f t="shared" si="62"/>
        <v>0.1424977724148245</v>
      </c>
      <c r="BE53" s="53">
        <f t="shared" si="62"/>
        <v>0.15048586307797177</v>
      </c>
      <c r="BF53" s="53">
        <f t="shared" si="62"/>
        <v>0.15899206821696457</v>
      </c>
      <c r="BG53" s="53">
        <f t="shared" si="62"/>
        <v>0.1680494988654635</v>
      </c>
      <c r="BH53" s="53">
        <f t="shared" si="62"/>
        <v>0.17769339249575672</v>
      </c>
      <c r="BI53" s="53">
        <f t="shared" si="62"/>
        <v>0.18796124984688106</v>
      </c>
      <c r="BJ53" s="53">
        <f t="shared" si="62"/>
        <v>0.19889298057331445</v>
      </c>
      <c r="BK53" s="53">
        <f t="shared" si="62"/>
        <v>0.21053105828371205</v>
      </c>
      <c r="BL53" s="54">
        <f t="shared" si="62"/>
        <v>0.22292068557596792</v>
      </c>
    </row>
    <row r="54" spans="2:64" ht="15" customHeight="1" outlineLevel="1" x14ac:dyDescent="0.25">
      <c r="B54" s="4"/>
      <c r="C54" s="51"/>
      <c r="D54" s="51" t="s">
        <v>194</v>
      </c>
      <c r="E54" s="51"/>
      <c r="F54" s="52" t="s">
        <v>19</v>
      </c>
      <c r="G54" s="53">
        <f>'Utility Calc'!G33/G57</f>
        <v>3.8654246575342464E-2</v>
      </c>
      <c r="H54" s="53">
        <f>'Utility Calc'!H33/H57</f>
        <v>4.1166772602739723E-2</v>
      </c>
      <c r="I54" s="53">
        <f>'Utility Calc'!I33/I57</f>
        <v>4.3842612821917815E-2</v>
      </c>
      <c r="J54" s="53">
        <f>'Utility Calc'!J33/J57</f>
        <v>4.6692382655342465E-2</v>
      </c>
      <c r="K54" s="53">
        <f>'Utility Calc'!K33/K57</f>
        <v>4.9727387527939725E-2</v>
      </c>
      <c r="L54" s="53">
        <f>'Utility Calc'!L33/L57</f>
        <v>5.2959667717255798E-2</v>
      </c>
      <c r="M54" s="53">
        <f>'Utility Calc'!M33/M57</f>
        <v>5.6402046118877419E-2</v>
      </c>
      <c r="N54" s="53">
        <f>'Utility Calc'!N33/N57</f>
        <v>6.0068179116604455E-2</v>
      </c>
      <c r="O54" s="53">
        <f>'Utility Calc'!O33/O57</f>
        <v>6.3972610759183743E-2</v>
      </c>
      <c r="P54" s="53">
        <f>'Utility Calc'!P33/P57</f>
        <v>6.8130830458530689E-2</v>
      </c>
      <c r="Q54" s="53">
        <f>'Utility Calc'!Q33/Q57</f>
        <v>7.2559334438335177E-2</v>
      </c>
      <c r="R54" s="53">
        <f>'Utility Calc'!R33/R57</f>
        <v>7.7275691176826936E-2</v>
      </c>
      <c r="S54" s="53">
        <f>'Utility Calc'!S33/S57</f>
        <v>8.2298611103320693E-2</v>
      </c>
      <c r="T54" s="53">
        <f>'Utility Calc'!T33/T57</f>
        <v>8.7648020825036532E-2</v>
      </c>
      <c r="U54" s="53">
        <f>'Utility Calc'!U33/U57</f>
        <v>9.3345142178663895E-2</v>
      </c>
      <c r="V54" s="53">
        <f>'Utility Calc'!V33/V57</f>
        <v>9.9412576420277052E-2</v>
      </c>
      <c r="W54" s="53">
        <f>'Utility Calc'!W33/W57</f>
        <v>0.10587439388759508</v>
      </c>
      <c r="X54" s="53">
        <f>'Utility Calc'!X33/X57</f>
        <v>0.11275622949028874</v>
      </c>
      <c r="Y54" s="53">
        <f>'Utility Calc'!Y33/Y57</f>
        <v>0.12008538440715752</v>
      </c>
      <c r="Z54" s="53">
        <f>'Utility Calc'!Z33/Z57</f>
        <v>0.12789093439362273</v>
      </c>
      <c r="AA54" s="53">
        <f>'Utility Calc'!AA33/AA57</f>
        <v>0.13620384512920822</v>
      </c>
      <c r="AB54" s="53">
        <f>'Utility Calc'!AB33/AB57</f>
        <v>0.14505709506260672</v>
      </c>
      <c r="AC54" s="53">
        <f>'Utility Calc'!AC33/AC57</f>
        <v>0.15448580624167618</v>
      </c>
      <c r="AD54" s="53">
        <f>'Utility Calc'!AD33/AD57</f>
        <v>0.16452738364738512</v>
      </c>
      <c r="AE54" s="53">
        <f>'Utility Calc'!AE33/AE57</f>
        <v>0.17522166358446514</v>
      </c>
      <c r="AF54" s="54">
        <f>'Utility Calc'!AF33/AF57</f>
        <v>0.18661107171745539</v>
      </c>
      <c r="AH54" s="4"/>
      <c r="AI54" s="51"/>
      <c r="AJ54" s="51" t="s">
        <v>194</v>
      </c>
      <c r="AK54" s="51"/>
      <c r="AL54" s="52" t="s">
        <v>19</v>
      </c>
      <c r="AM54" s="53">
        <f>'Utility Calc'!G34/AM57</f>
        <v>3.8654246575342471E-2</v>
      </c>
      <c r="AN54" s="53">
        <f>'Utility Calc'!H34/AN57</f>
        <v>4.1166772602739723E-2</v>
      </c>
      <c r="AO54" s="53">
        <f>'Utility Calc'!I34/AO57</f>
        <v>4.3842612821917815E-2</v>
      </c>
      <c r="AP54" s="53">
        <f>'Utility Calc'!J34/AP57</f>
        <v>4.6692382655342465E-2</v>
      </c>
      <c r="AQ54" s="53">
        <f>'Utility Calc'!K34/AQ57</f>
        <v>4.9727387527939718E-2</v>
      </c>
      <c r="AR54" s="53">
        <f>'Utility Calc'!L34/AR57</f>
        <v>5.2959667717255798E-2</v>
      </c>
      <c r="AS54" s="53">
        <f>'Utility Calc'!M34/AS57</f>
        <v>5.6402046118877419E-2</v>
      </c>
      <c r="AT54" s="53">
        <f>'Utility Calc'!N34/AT57</f>
        <v>6.0068179116604455E-2</v>
      </c>
      <c r="AU54" s="53">
        <f>'Utility Calc'!O34/AU57</f>
        <v>6.3972610759183757E-2</v>
      </c>
      <c r="AV54" s="53">
        <f>'Utility Calc'!P34/AV57</f>
        <v>6.8130830458530675E-2</v>
      </c>
      <c r="AW54" s="53">
        <f>'Utility Calc'!Q34/AW57</f>
        <v>7.2559334438335177E-2</v>
      </c>
      <c r="AX54" s="53">
        <f>'Utility Calc'!R34/AX57</f>
        <v>7.7275691176826936E-2</v>
      </c>
      <c r="AY54" s="53">
        <f>'Utility Calc'!S34/AY57</f>
        <v>8.2298611103320707E-2</v>
      </c>
      <c r="AZ54" s="53">
        <f>'Utility Calc'!T34/AZ57</f>
        <v>8.7648020825036518E-2</v>
      </c>
      <c r="BA54" s="53">
        <f>'Utility Calc'!U34/BA57</f>
        <v>9.3345142178663909E-2</v>
      </c>
      <c r="BB54" s="53">
        <f>'Utility Calc'!V34/BB57</f>
        <v>9.9412576420277066E-2</v>
      </c>
      <c r="BC54" s="53">
        <f>'Utility Calc'!W34/BC57</f>
        <v>0.10587439388759508</v>
      </c>
      <c r="BD54" s="53">
        <f>'Utility Calc'!X34/BD57</f>
        <v>0.11275622949028873</v>
      </c>
      <c r="BE54" s="53">
        <f>'Utility Calc'!Y34/BE57</f>
        <v>0.12008538440715752</v>
      </c>
      <c r="BF54" s="53">
        <f>'Utility Calc'!Z34/BF57</f>
        <v>0.1278909343936227</v>
      </c>
      <c r="BG54" s="53">
        <f>'Utility Calc'!AA34/BG57</f>
        <v>0.13620384512920825</v>
      </c>
      <c r="BH54" s="53">
        <f>'Utility Calc'!AB34/BH57</f>
        <v>0.14505709506260675</v>
      </c>
      <c r="BI54" s="53">
        <f>'Utility Calc'!AC34/BI57</f>
        <v>0.15448580624167618</v>
      </c>
      <c r="BJ54" s="53">
        <f>'Utility Calc'!AD34/BJ57</f>
        <v>0.16452738364738514</v>
      </c>
      <c r="BK54" s="53">
        <f>'Utility Calc'!AE34/BK57</f>
        <v>0.17522166358446514</v>
      </c>
      <c r="BL54" s="54">
        <f>'Utility Calc'!AF34/BL57</f>
        <v>0.18661107171745536</v>
      </c>
    </row>
    <row r="55" spans="2:64" ht="15" customHeight="1" outlineLevel="1" x14ac:dyDescent="0.25">
      <c r="B55" s="4"/>
      <c r="C55" s="51"/>
      <c r="D55" s="51" t="s">
        <v>195</v>
      </c>
      <c r="E55" s="51"/>
      <c r="F55" s="52" t="s">
        <v>19</v>
      </c>
      <c r="G55" s="53">
        <f>'Utility Calc'!G54/G57</f>
        <v>8.1166913785641837E-2</v>
      </c>
      <c r="H55" s="53">
        <f>'Utility Calc'!H54/H57</f>
        <v>8.3087128280402225E-2</v>
      </c>
      <c r="I55" s="53">
        <f>'Utility Calc'!I54/I57</f>
        <v>8.3630128173837498E-2</v>
      </c>
      <c r="J55" s="53">
        <f>'Utility Calc'!J54/J57</f>
        <v>8.423688187632665E-2</v>
      </c>
      <c r="K55" s="53">
        <f>'Utility Calc'!K54/K57</f>
        <v>8.4910219135856044E-2</v>
      </c>
      <c r="L55" s="53">
        <f>'Utility Calc'!L54/L57</f>
        <v>8.5653115733722127E-2</v>
      </c>
      <c r="M55" s="53">
        <f>'Utility Calc'!M54/M57</f>
        <v>8.6468700797831199E-2</v>
      </c>
      <c r="N55" s="53">
        <f>'Utility Calc'!N54/N57</f>
        <v>8.7360264483996156E-2</v>
      </c>
      <c r="O55" s="53">
        <f>'Utility Calc'!O54/O57</f>
        <v>8.8331266043740878E-2</v>
      </c>
      <c r="P55" s="53">
        <f>'Utility Calc'!P54/P57</f>
        <v>8.9385342298053214E-2</v>
      </c>
      <c r="Q55" s="53">
        <f>'Utility Calc'!Q54/Q57</f>
        <v>9.0526316537504897E-2</v>
      </c>
      <c r="R55" s="53">
        <f>'Utility Calc'!R54/R57</f>
        <v>9.1758207870184558E-2</v>
      </c>
      <c r="S55" s="53">
        <f>'Utility Calc'!S54/S57</f>
        <v>9.3085241039967792E-2</v>
      </c>
      <c r="T55" s="53">
        <f>'Utility Calc'!T54/T57</f>
        <v>9.4511856738781028E-2</v>
      </c>
      <c r="U55" s="53">
        <f>'Utility Calc'!U54/U57</f>
        <v>9.6042722437706715E-2</v>
      </c>
      <c r="V55" s="53">
        <f>'Utility Calc'!V54/V57</f>
        <v>9.7682743763025645E-2</v>
      </c>
      <c r="W55" s="53">
        <f>'Utility Calc'!W54/W57</f>
        <v>9.943707644460556E-2</v>
      </c>
      <c r="X55" s="53">
        <f>'Utility Calc'!X54/X57</f>
        <v>0.10131113886542316</v>
      </c>
      <c r="Y55" s="53">
        <f>'Utility Calc'!Y54/Y57</f>
        <v>0.10331062524245564</v>
      </c>
      <c r="Z55" s="53">
        <f>'Utility Calc'!Z54/Z57</f>
        <v>0.10544151947069676</v>
      </c>
      <c r="AA55" s="53">
        <f>'Utility Calc'!AA54/AA57</f>
        <v>0.10771010966365069</v>
      </c>
      <c r="AB55" s="53">
        <f>'Utility Calc'!AB54/AB57</f>
        <v>0.11012300342533445</v>
      </c>
      <c r="AC55" s="53">
        <f>'Utility Calc'!AC54/AC57</f>
        <v>0.1126871438905814</v>
      </c>
      <c r="AD55" s="53">
        <f>'Utility Calc'!AD54/AD57</f>
        <v>0.11540982657228742</v>
      </c>
      <c r="AE55" s="53">
        <f>'Utility Calc'!AE54/AE57</f>
        <v>0.1182987170561884</v>
      </c>
      <c r="AF55" s="54">
        <f>'Utility Calc'!AF54/AF57</f>
        <v>0.12136186958579408</v>
      </c>
      <c r="AH55" s="4"/>
      <c r="AI55" s="51"/>
      <c r="AJ55" s="51" t="s">
        <v>195</v>
      </c>
      <c r="AK55" s="51"/>
      <c r="AL55" s="52" t="s">
        <v>19</v>
      </c>
      <c r="AM55" s="53">
        <f>'Utility Calc'!G56/AM57</f>
        <v>2.2887062054992524E-2</v>
      </c>
      <c r="AN55" s="53">
        <f>'Utility Calc'!H56/AN57</f>
        <v>2.3484098712335418E-2</v>
      </c>
      <c r="AO55" s="53">
        <f>'Utility Calc'!I56/AO57</f>
        <v>2.3693654162532517E-2</v>
      </c>
      <c r="AP55" s="53">
        <f>'Utility Calc'!J56/AP57</f>
        <v>2.3922177011870716E-2</v>
      </c>
      <c r="AQ55" s="53">
        <f>'Utility Calc'!K56/AQ57</f>
        <v>2.4170604552801914E-2</v>
      </c>
      <c r="AR55" s="53">
        <f>'Utility Calc'!L56/AR57</f>
        <v>2.4439924011060873E-2</v>
      </c>
      <c r="AS55" s="53">
        <f>'Utility Calc'!M56/AS57</f>
        <v>2.473117517943705E-2</v>
      </c>
      <c r="AT55" s="53">
        <f>'Utility Calc'!N56/AT57</f>
        <v>2.5045453190565101E-2</v>
      </c>
      <c r="AU55" s="53">
        <f>'Utility Calc'!O56/AU57</f>
        <v>2.5383911436073145E-2</v>
      </c>
      <c r="AV55" s="53">
        <f>'Utility Calc'!P56/AV57</f>
        <v>2.5747764639815193E-2</v>
      </c>
      <c r="AW55" s="53">
        <f>'Utility Calc'!Q56/AW57</f>
        <v>2.6138292093322028E-2</v>
      </c>
      <c r="AX55" s="53">
        <f>'Utility Calc'!R56/AX57</f>
        <v>2.6556841062034087E-2</v>
      </c>
      <c r="AY55" s="53">
        <f>'Utility Calc'!S56/AY57</f>
        <v>2.7004830371332212E-2</v>
      </c>
      <c r="AZ55" s="53">
        <f>'Utility Calc'!T56/AZ57</f>
        <v>2.7483754181857646E-2</v>
      </c>
      <c r="BA55" s="53">
        <f>'Utility Calc'!U56/BA57</f>
        <v>2.7995185964114166E-2</v>
      </c>
      <c r="BB55" s="53">
        <f>'Utility Calc'!V56/BB57</f>
        <v>2.8540782682872214E-2</v>
      </c>
      <c r="BC55" s="53">
        <f>'Utility Calc'!W56/BC57</f>
        <v>2.9122289202450601E-2</v>
      </c>
      <c r="BD55" s="53">
        <f>'Utility Calc'!X56/BD57</f>
        <v>2.9741542924535767E-2</v>
      </c>
      <c r="BE55" s="53">
        <f>'Utility Calc'!Y56/BE57</f>
        <v>3.0400478670814256E-2</v>
      </c>
      <c r="BF55" s="53">
        <f>'Utility Calc'!Z56/BF57</f>
        <v>3.110113382334187E-2</v>
      </c>
      <c r="BG55" s="53">
        <f>'Utility Calc'!AA56/BG57</f>
        <v>3.1845653736255267E-2</v>
      </c>
      <c r="BH55" s="53">
        <f>'Utility Calc'!AB56/BH57</f>
        <v>3.2636297433149955E-2</v>
      </c>
      <c r="BI55" s="53">
        <f>'Utility Calc'!AC56/BI57</f>
        <v>3.347544360520488E-2</v>
      </c>
      <c r="BJ55" s="53">
        <f>'Utility Calc'!AD56/BJ57</f>
        <v>3.4365596925929304E-2</v>
      </c>
      <c r="BK55" s="53">
        <f>'Utility Calc'!AE56/BK57</f>
        <v>3.5309394699246897E-2</v>
      </c>
      <c r="BL55" s="54">
        <f>'Utility Calc'!AF56/BL57</f>
        <v>3.630961385851255E-2</v>
      </c>
    </row>
    <row r="56" spans="2:64" ht="15" customHeight="1" outlineLevel="1" x14ac:dyDescent="0.25">
      <c r="B56" s="4"/>
      <c r="C56" s="51"/>
      <c r="D56" s="51" t="s">
        <v>196</v>
      </c>
      <c r="E56" s="51"/>
      <c r="F56" s="52" t="s">
        <v>7</v>
      </c>
      <c r="G56" s="55">
        <f t="shared" ref="G56:AF56" si="63">(G48-G53)/G53</f>
        <v>0</v>
      </c>
      <c r="H56" s="55">
        <f t="shared" si="63"/>
        <v>7.0832347645480749E-3</v>
      </c>
      <c r="I56" s="55">
        <f t="shared" si="63"/>
        <v>8.4542214522932632E-3</v>
      </c>
      <c r="J56" s="55">
        <f t="shared" si="63"/>
        <v>9.759398842873631E-3</v>
      </c>
      <c r="K56" s="55">
        <f t="shared" si="63"/>
        <v>1.0998630877591512E-2</v>
      </c>
      <c r="L56" s="55">
        <f t="shared" si="63"/>
        <v>1.2172041051872789E-2</v>
      </c>
      <c r="M56" s="55">
        <f t="shared" si="63"/>
        <v>1.3280004523733027E-2</v>
      </c>
      <c r="N56" s="55">
        <f t="shared" si="63"/>
        <v>1.432313659069118E-2</v>
      </c>
      <c r="O56" s="55">
        <f t="shared" si="63"/>
        <v>1.5302277793174323E-2</v>
      </c>
      <c r="P56" s="55">
        <f t="shared" si="63"/>
        <v>1.6218475971712085E-2</v>
      </c>
      <c r="Q56" s="55">
        <f t="shared" si="63"/>
        <v>1.7072965659526068E-2</v>
      </c>
      <c r="R56" s="55">
        <f t="shared" si="63"/>
        <v>1.1759622094070369E-2</v>
      </c>
      <c r="S56" s="55">
        <f t="shared" si="63"/>
        <v>1.1483997287224322E-2</v>
      </c>
      <c r="T56" s="55">
        <f t="shared" si="63"/>
        <v>1.1212403330990236E-2</v>
      </c>
      <c r="U56" s="55">
        <f t="shared" si="63"/>
        <v>1.09452232982554E-2</v>
      </c>
      <c r="V56" s="55">
        <f t="shared" si="63"/>
        <v>1.06828014703894E-2</v>
      </c>
      <c r="W56" s="55">
        <f t="shared" si="63"/>
        <v>1.0425442621636158E-2</v>
      </c>
      <c r="X56" s="55">
        <f t="shared" si="63"/>
        <v>1.0173411846552391E-2</v>
      </c>
      <c r="Y56" s="55">
        <f t="shared" si="63"/>
        <v>9.9269348902742797E-3</v>
      </c>
      <c r="Z56" s="55">
        <f t="shared" si="63"/>
        <v>9.6861989336611311E-3</v>
      </c>
      <c r="AA56" s="55">
        <f t="shared" si="63"/>
        <v>9.4513537798329907E-3</v>
      </c>
      <c r="AB56" s="55">
        <f t="shared" si="63"/>
        <v>9.2225133852373471E-3</v>
      </c>
      <c r="AC56" s="55">
        <f t="shared" si="63"/>
        <v>8.9997576769590207E-3</v>
      </c>
      <c r="AD56" s="55">
        <f t="shared" si="63"/>
        <v>8.7831345983773994E-3</v>
      </c>
      <c r="AE56" s="55">
        <f t="shared" si="63"/>
        <v>8.5726623271260259E-3</v>
      </c>
      <c r="AF56" s="56">
        <f t="shared" si="63"/>
        <v>8.3683316124754051E-3</v>
      </c>
      <c r="AH56" s="4"/>
      <c r="AI56" s="51"/>
      <c r="AJ56" s="51" t="s">
        <v>196</v>
      </c>
      <c r="AK56" s="51"/>
      <c r="AL56" s="52" t="s">
        <v>7</v>
      </c>
      <c r="AM56" s="55">
        <f t="shared" ref="AM56:BL56" si="64">(AM48-AM53)/AM53</f>
        <v>0</v>
      </c>
      <c r="AN56" s="55">
        <f t="shared" si="64"/>
        <v>1.7411143117745176E-3</v>
      </c>
      <c r="AO56" s="55">
        <f t="shared" si="64"/>
        <v>6.5877579282928415E-3</v>
      </c>
      <c r="AP56" s="55">
        <f t="shared" si="64"/>
        <v>8.0041007911232018E-3</v>
      </c>
      <c r="AQ56" s="55">
        <f t="shared" si="64"/>
        <v>9.4092238501999759E-3</v>
      </c>
      <c r="AR56" s="55">
        <f t="shared" si="64"/>
        <v>1.0805429176889848E-2</v>
      </c>
      <c r="AS56" s="55">
        <f t="shared" si="64"/>
        <v>1.2195385868956998E-2</v>
      </c>
      <c r="AT56" s="55">
        <f t="shared" si="64"/>
        <v>1.3582134755153553E-2</v>
      </c>
      <c r="AU56" s="55">
        <f t="shared" si="64"/>
        <v>1.496909578714312E-2</v>
      </c>
      <c r="AV56" s="55">
        <f t="shared" si="64"/>
        <v>1.6360078995152474E-2</v>
      </c>
      <c r="AW56" s="55">
        <f t="shared" si="64"/>
        <v>1.775929995822002E-2</v>
      </c>
      <c r="AX56" s="55">
        <f t="shared" si="64"/>
        <v>1.9527070976008625E-2</v>
      </c>
      <c r="AY56" s="55">
        <f t="shared" si="64"/>
        <v>1.3995199690130909E-2</v>
      </c>
      <c r="AZ56" s="55">
        <f t="shared" si="64"/>
        <v>1.3501495781182619E-2</v>
      </c>
      <c r="BA56" s="55">
        <f t="shared" si="64"/>
        <v>1.3028389582645768E-2</v>
      </c>
      <c r="BB56" s="55">
        <f t="shared" si="64"/>
        <v>1.2575367191795951E-2</v>
      </c>
      <c r="BC56" s="55">
        <f t="shared" si="64"/>
        <v>1.2141875853075686E-2</v>
      </c>
      <c r="BD56" s="55">
        <f t="shared" si="64"/>
        <v>1.1727331362842668E-2</v>
      </c>
      <c r="BE56" s="55">
        <f t="shared" si="64"/>
        <v>1.1331124946516339E-2</v>
      </c>
      <c r="BF56" s="55">
        <f t="shared" si="64"/>
        <v>1.0952629584727428E-2</v>
      </c>
      <c r="BG56" s="55">
        <f t="shared" si="64"/>
        <v>1.0591205778161677E-2</v>
      </c>
      <c r="BH56" s="55">
        <f t="shared" si="64"/>
        <v>1.0246206751942131E-2</v>
      </c>
      <c r="BI56" s="55">
        <f t="shared" si="64"/>
        <v>9.9169831096475765E-3</v>
      </c>
      <c r="BJ56" s="55">
        <f t="shared" si="64"/>
        <v>9.6028869545517811E-3</v>
      </c>
      <c r="BK56" s="55">
        <f t="shared" si="64"/>
        <v>9.3032755015233226E-3</v>
      </c>
      <c r="BL56" s="56">
        <f t="shared" si="64"/>
        <v>9.0175142073528336E-3</v>
      </c>
    </row>
    <row r="57" spans="2:64" x14ac:dyDescent="0.25">
      <c r="B57" s="8" t="s">
        <v>282</v>
      </c>
      <c r="C57" s="9"/>
      <c r="D57" s="9"/>
      <c r="E57" s="9"/>
      <c r="F57" s="339" t="s">
        <v>6</v>
      </c>
      <c r="G57" s="39">
        <f>'Customer Sector'!F11</f>
        <v>25700000000</v>
      </c>
      <c r="H57" s="39">
        <f>G57*(1+'Customer Sector'!$F$12)</f>
        <v>26059800000</v>
      </c>
      <c r="I57" s="39">
        <f>H57*(1+'Customer Sector'!$F$12)</f>
        <v>26424637200</v>
      </c>
      <c r="J57" s="39">
        <f>I57*(1+'Customer Sector'!$F$12)</f>
        <v>26794582120.799999</v>
      </c>
      <c r="K57" s="39">
        <f>J57*(1+'Customer Sector'!$F$12)</f>
        <v>27169706270.491199</v>
      </c>
      <c r="L57" s="39">
        <f>K57*(1+'Customer Sector'!$F$12)</f>
        <v>27550082158.278076</v>
      </c>
      <c r="M57" s="39">
        <f>L57*(1+'Customer Sector'!$F$12)</f>
        <v>27935783308.493969</v>
      </c>
      <c r="N57" s="39">
        <f>M57*(1+'Customer Sector'!$F$12)</f>
        <v>28326884274.812885</v>
      </c>
      <c r="O57" s="39">
        <f>N57*(1+'Customer Sector'!$F$12)</f>
        <v>28723460654.660267</v>
      </c>
      <c r="P57" s="39">
        <f>O57*(1+'Customer Sector'!$F$12)</f>
        <v>29125589103.825512</v>
      </c>
      <c r="Q57" s="39">
        <f>P57*(1+'Customer Sector'!$F$12)</f>
        <v>29533347351.279068</v>
      </c>
      <c r="R57" s="39">
        <f>Q57*(1+'Customer Sector'!$F$12)</f>
        <v>29946814214.196976</v>
      </c>
      <c r="S57" s="39">
        <f>R57*(1+'Customer Sector'!$F$12)</f>
        <v>30366069613.195732</v>
      </c>
      <c r="T57" s="39">
        <f>S57*(1+'Customer Sector'!$F$12)</f>
        <v>30791194587.780472</v>
      </c>
      <c r="U57" s="39">
        <f>T57*(1+'Customer Sector'!$F$12)</f>
        <v>31222271312.009399</v>
      </c>
      <c r="V57" s="39">
        <f>U57*(1+'Customer Sector'!$F$12)</f>
        <v>31659383110.377533</v>
      </c>
      <c r="W57" s="39">
        <f>V57*(1+'Customer Sector'!$F$12)</f>
        <v>32102614473.922817</v>
      </c>
      <c r="X57" s="39">
        <f>W57*(1+'Customer Sector'!$F$12)</f>
        <v>32552051076.557735</v>
      </c>
      <c r="Y57" s="39">
        <f>X57*(1+'Customer Sector'!$F$12)</f>
        <v>33007779791.629543</v>
      </c>
      <c r="Z57" s="39">
        <f>Y57*(1+'Customer Sector'!$F$12)</f>
        <v>33469888708.712357</v>
      </c>
      <c r="AA57" s="39">
        <f>Z57*(1+'Customer Sector'!$F$12)</f>
        <v>33938467150.634331</v>
      </c>
      <c r="AB57" s="39">
        <f>AA57*(1+'Customer Sector'!$F$12)</f>
        <v>34413605690.74321</v>
      </c>
      <c r="AC57" s="39">
        <f>AB57*(1+'Customer Sector'!$F$12)</f>
        <v>34895396170.413612</v>
      </c>
      <c r="AD57" s="39">
        <f>AC57*(1+'Customer Sector'!$F$12)</f>
        <v>35383931716.7994</v>
      </c>
      <c r="AE57" s="39">
        <f>AD57*(1+'Customer Sector'!$F$12)</f>
        <v>35879306760.834595</v>
      </c>
      <c r="AF57" s="40">
        <f>AE57*(1+'Customer Sector'!$F$12)</f>
        <v>36381617055.486282</v>
      </c>
      <c r="AH57" s="8" t="s">
        <v>282</v>
      </c>
      <c r="AI57" s="9"/>
      <c r="AJ57" s="9"/>
      <c r="AK57" s="9"/>
      <c r="AL57" s="17" t="s">
        <v>6</v>
      </c>
      <c r="AM57" s="39">
        <f>'Customer Sector'!L11</f>
        <v>55389000000</v>
      </c>
      <c r="AN57" s="39">
        <f>AM57*(1+'Customer Sector'!$L$12)</f>
        <v>56031512400</v>
      </c>
      <c r="AO57" s="39">
        <f>AN57*(1+'Customer Sector'!$L$12)</f>
        <v>56681477943.840004</v>
      </c>
      <c r="AP57" s="39">
        <f>AO57*(1+'Customer Sector'!$L$12)</f>
        <v>57338983087.988548</v>
      </c>
      <c r="AQ57" s="39">
        <f>AP57*(1+'Customer Sector'!$L$12)</f>
        <v>58004115291.809219</v>
      </c>
      <c r="AR57" s="39">
        <f>AQ57*(1+'Customer Sector'!$L$12)</f>
        <v>58676963029.194206</v>
      </c>
      <c r="AS57" s="39">
        <f>AR57*(1+'Customer Sector'!$L$12)</f>
        <v>59357615800.332863</v>
      </c>
      <c r="AT57" s="39">
        <f>AS57*(1+'Customer Sector'!$L$12)</f>
        <v>60046164143.61673</v>
      </c>
      <c r="AU57" s="39">
        <f>AT57*(1+'Customer Sector'!$L$12)</f>
        <v>60742699647.682686</v>
      </c>
      <c r="AV57" s="39">
        <f>AU57*(1+'Customer Sector'!$L$12)</f>
        <v>61447314963.59581</v>
      </c>
      <c r="AW57" s="39">
        <f>AV57*(1+'Customer Sector'!$L$12)</f>
        <v>62160103817.173523</v>
      </c>
      <c r="AX57" s="39">
        <f>AW57*(1+'Customer Sector'!$L$12)</f>
        <v>62881161021.452736</v>
      </c>
      <c r="AY57" s="39">
        <f>AX57*(1+'Customer Sector'!$L$12)</f>
        <v>63610582489.30159</v>
      </c>
      <c r="AZ57" s="39">
        <f>AY57*(1+'Customer Sector'!$L$12)</f>
        <v>64348465246.17749</v>
      </c>
      <c r="BA57" s="39">
        <f>AZ57*(1+'Customer Sector'!$L$12)</f>
        <v>65094907443.03315</v>
      </c>
      <c r="BB57" s="39">
        <f>BA57*(1+'Customer Sector'!$L$12)</f>
        <v>65850008369.372337</v>
      </c>
      <c r="BC57" s="39">
        <f>BB57*(1+'Customer Sector'!$L$12)</f>
        <v>66613868466.457062</v>
      </c>
      <c r="BD57" s="39">
        <f>BC57*(1+'Customer Sector'!$L$12)</f>
        <v>67386589340.667969</v>
      </c>
      <c r="BE57" s="39">
        <f>BD57*(1+'Customer Sector'!$L$12)</f>
        <v>68168273777.019722</v>
      </c>
      <c r="BF57" s="39">
        <f>BE57*(1+'Customer Sector'!$L$12)</f>
        <v>68959025752.83316</v>
      </c>
      <c r="BG57" s="39">
        <f>BF57*(1+'Customer Sector'!$L$12)</f>
        <v>69758950451.566025</v>
      </c>
      <c r="BH57" s="39">
        <f>BG57*(1+'Customer Sector'!$L$12)</f>
        <v>70568154276.804199</v>
      </c>
      <c r="BI57" s="39">
        <f>BH57*(1+'Customer Sector'!$L$12)</f>
        <v>71386744866.415131</v>
      </c>
      <c r="BJ57" s="39">
        <f>BI57*(1+'Customer Sector'!$L$12)</f>
        <v>72214831106.865555</v>
      </c>
      <c r="BK57" s="39">
        <f>BJ57*(1+'Customer Sector'!$L$12)</f>
        <v>73052523147.7052</v>
      </c>
      <c r="BL57" s="40">
        <f>BK57*(1+'Customer Sector'!$L$12)</f>
        <v>73899932416.218582</v>
      </c>
    </row>
    <row r="58" spans="2:64" x14ac:dyDescent="0.25">
      <c r="B58" s="10"/>
      <c r="C58" s="11" t="s">
        <v>281</v>
      </c>
      <c r="D58" s="11"/>
      <c r="E58" s="11"/>
      <c r="F58" s="339" t="s">
        <v>19</v>
      </c>
      <c r="G58" s="39">
        <f>G57-G64</f>
        <v>25700000000</v>
      </c>
      <c r="H58" s="39">
        <f>(G58*(1+'Customer Sector'!$F$12))-H63</f>
        <v>26001960000</v>
      </c>
      <c r="I58" s="39">
        <f>(H58*(1+'Customer Sector'!$F$12))-I63</f>
        <v>26307626880</v>
      </c>
      <c r="J58" s="39">
        <f>(I58*(1+'Customer Sector'!$F$12))-J63</f>
        <v>26617047851.279999</v>
      </c>
      <c r="K58" s="39">
        <f>(J58*(1+'Customer Sector'!$F$12))-K63</f>
        <v>26930270743.91256</v>
      </c>
      <c r="L58" s="39">
        <f>(K58*(1+'Customer Sector'!$F$12))-L63</f>
        <v>27247344015.046406</v>
      </c>
      <c r="M58" s="39">
        <f>(L58*(1+'Customer Sector'!$F$12))-M63</f>
        <v>27568316757.302601</v>
      </c>
      <c r="N58" s="39">
        <f>(M58*(1+'Customer Sector'!$F$12))-N63</f>
        <v>27893238707.28479</v>
      </c>
      <c r="O58" s="39">
        <f>(N58*(1+'Customer Sector'!$F$12))-O63</f>
        <v>28222160254.205151</v>
      </c>
      <c r="P58" s="39">
        <f>(O58*(1+'Customer Sector'!$F$12))-P63</f>
        <v>28555132448.62756</v>
      </c>
      <c r="Q58" s="39">
        <f>(P58*(1+'Customer Sector'!$F$12))-Q63</f>
        <v>28892207011.329655</v>
      </c>
      <c r="R58" s="39">
        <f>(Q58*(1+'Customer Sector'!$F$12))-R63</f>
        <v>29296697909.48827</v>
      </c>
      <c r="S58" s="39">
        <f>(R58*(1+'Customer Sector'!$F$12))-S63</f>
        <v>29706851680.221107</v>
      </c>
      <c r="T58" s="39">
        <f>(S58*(1+'Customer Sector'!$F$12))-T63</f>
        <v>30122747603.744202</v>
      </c>
      <c r="U58" s="39">
        <f>(T58*(1+'Customer Sector'!$F$12))-U63</f>
        <v>30544466070.196621</v>
      </c>
      <c r="V58" s="441">
        <f>(U58*(1+'Customer Sector'!$F$12))-V63</f>
        <v>30972088595.179375</v>
      </c>
      <c r="W58" s="39">
        <f>(V58*(1+'Customer Sector'!$F$12))-W63</f>
        <v>31405697835.511887</v>
      </c>
      <c r="X58" s="39">
        <f>(W58*(1+'Customer Sector'!$F$12))-X63</f>
        <v>31845377605.209053</v>
      </c>
      <c r="Y58" s="39">
        <f>(X58*(1+'Customer Sector'!$F$12))-Y63</f>
        <v>32291212891.68198</v>
      </c>
      <c r="Z58" s="39">
        <f>(Y58*(1+'Customer Sector'!$F$12))-Z63</f>
        <v>32743289872.165527</v>
      </c>
      <c r="AA58" s="39">
        <f>(Z58*(1+'Customer Sector'!$F$12))-AA63</f>
        <v>33201695930.375847</v>
      </c>
      <c r="AB58" s="39">
        <f>(AA58*(1+'Customer Sector'!$F$12))-AB63</f>
        <v>33666519673.401108</v>
      </c>
      <c r="AC58" s="39">
        <f>(AB58*(1+'Customer Sector'!$F$12))-AC63</f>
        <v>34137850948.828724</v>
      </c>
      <c r="AD58" s="39">
        <f>(AC58*(1+'Customer Sector'!$F$12))-AD63</f>
        <v>34615780862.112328</v>
      </c>
      <c r="AE58" s="39">
        <f>(AD58*(1+'Customer Sector'!$F$12))-AE63</f>
        <v>35100401794.1819</v>
      </c>
      <c r="AF58" s="40">
        <f>(AE58*(1+'Customer Sector'!$F$12))-AF63</f>
        <v>35591807419.300446</v>
      </c>
      <c r="AH58" s="10"/>
      <c r="AI58" s="11" t="s">
        <v>281</v>
      </c>
      <c r="AJ58" s="11"/>
      <c r="AK58" s="11"/>
      <c r="AL58" s="17" t="s">
        <v>19</v>
      </c>
      <c r="AM58" s="39">
        <f>AM57</f>
        <v>55389000000</v>
      </c>
      <c r="AN58" s="39">
        <f>(AM58*(1+'Customer Sector'!$L$12))-AN63</f>
        <v>55790523400</v>
      </c>
      <c r="AO58" s="39">
        <f>(AN58*(1+'Customer Sector'!$L$12))-AO63</f>
        <v>56180558208.440002</v>
      </c>
      <c r="AP58" s="39">
        <f>(AO58*(1+'Customer Sector'!$L$12))-AP63</f>
        <v>56557889358.036911</v>
      </c>
      <c r="AQ58" s="39">
        <f>(AP58*(1+'Customer Sector'!$L$12))-AQ63</f>
        <v>56921215206.152534</v>
      </c>
      <c r="AR58" s="39">
        <f>(AQ58*(1+'Customer Sector'!$L$12))-AR63</f>
        <v>57269141674.320984</v>
      </c>
      <c r="AS58" s="39">
        <f>(AR58*(1+'Customer Sector'!$L$12))-AS63</f>
        <v>57600175994.429245</v>
      </c>
      <c r="AT58" s="39">
        <f>(AS58*(1+'Customer Sector'!$L$12))-AT63</f>
        <v>57912720035.188736</v>
      </c>
      <c r="AU58" s="39">
        <f>(AT58*(1+'Customer Sector'!$L$12))-AU63</f>
        <v>58205063180.769058</v>
      </c>
      <c r="AV58" s="39">
        <f>(AU58*(1+'Customer Sector'!$L$12))-AV63</f>
        <v>58475374731.580643</v>
      </c>
      <c r="AW58" s="39">
        <f>(AV58*(1+'Customer Sector'!$L$12))-AW63</f>
        <v>58721695795.181915</v>
      </c>
      <c r="AX58" s="39">
        <f>(AW58*(1+'Customer Sector'!$L$12))-AX63</f>
        <v>59402867466.406029</v>
      </c>
      <c r="AY58" s="39">
        <f>(AX58*(1+'Customer Sector'!$L$12))-AY63</f>
        <v>60091940729.016342</v>
      </c>
      <c r="AZ58" s="39">
        <f>(AY58*(1+'Customer Sector'!$L$12))-AZ63</f>
        <v>60789007241.472939</v>
      </c>
      <c r="BA58" s="39">
        <f>(AZ58*(1+'Customer Sector'!$L$12))-BA63</f>
        <v>61494159725.47403</v>
      </c>
      <c r="BB58" s="39">
        <f>(BA58*(1+'Customer Sector'!$L$12))-BB63</f>
        <v>62207491978.289528</v>
      </c>
      <c r="BC58" s="39">
        <f>(BB58*(1+'Customer Sector'!$L$12))-BC63</f>
        <v>62929098885.237686</v>
      </c>
      <c r="BD58" s="39">
        <f>(BC58*(1+'Customer Sector'!$L$12))-BD63</f>
        <v>63659076432.30645</v>
      </c>
      <c r="BE58" s="39">
        <f>(BD58*(1+'Customer Sector'!$L$12))-BE63</f>
        <v>64397521718.921211</v>
      </c>
      <c r="BF58" s="39">
        <f>(BE58*(1+'Customer Sector'!$L$12))-BF63</f>
        <v>65144532970.860703</v>
      </c>
      <c r="BG58" s="39">
        <f>(BF58*(1+'Customer Sector'!$L$12))-BG63</f>
        <v>65900209553.322693</v>
      </c>
      <c r="BH58" s="39">
        <f>(BG58*(1+'Customer Sector'!$L$12))-BH63</f>
        <v>66664651984.141243</v>
      </c>
      <c r="BI58" s="39">
        <f>(BH58*(1+'Customer Sector'!$L$12))-BI63</f>
        <v>67437961947.157288</v>
      </c>
      <c r="BJ58" s="39">
        <f>(BI58*(1+'Customer Sector'!$L$12))-BJ63</f>
        <v>68220242305.744316</v>
      </c>
      <c r="BK58" s="39">
        <f>(BJ58*(1+'Customer Sector'!$L$12))-BK63</f>
        <v>69011597116.490952</v>
      </c>
      <c r="BL58" s="40">
        <f>(BK58*(1+'Customer Sector'!$L$12))-BL63</f>
        <v>69812131643.042252</v>
      </c>
    </row>
    <row r="59" spans="2:64" x14ac:dyDescent="0.25">
      <c r="B59" s="10"/>
      <c r="C59" s="11" t="s">
        <v>203</v>
      </c>
      <c r="D59" s="11"/>
      <c r="E59" s="11"/>
      <c r="F59" s="339" t="s">
        <v>19</v>
      </c>
      <c r="G59" s="39">
        <f>G57-G58</f>
        <v>0</v>
      </c>
      <c r="H59" s="39">
        <f t="shared" ref="H59:AF59" si="65">H57-H58</f>
        <v>57840000</v>
      </c>
      <c r="I59" s="39">
        <f>I57-I58</f>
        <v>117010320</v>
      </c>
      <c r="J59" s="39">
        <f t="shared" si="65"/>
        <v>177534269.52000046</v>
      </c>
      <c r="K59" s="39">
        <f t="shared" si="65"/>
        <v>239435526.57863998</v>
      </c>
      <c r="L59" s="39">
        <f t="shared" si="65"/>
        <v>302738143.23167038</v>
      </c>
      <c r="M59" s="39">
        <f t="shared" si="65"/>
        <v>367466551.1913681</v>
      </c>
      <c r="N59" s="39">
        <f t="shared" si="65"/>
        <v>433645567.52809525</v>
      </c>
      <c r="O59" s="39">
        <f t="shared" si="65"/>
        <v>501300400.45511627</v>
      </c>
      <c r="P59" s="39">
        <f t="shared" si="65"/>
        <v>570456655.19795227</v>
      </c>
      <c r="Q59" s="39">
        <f t="shared" si="65"/>
        <v>641140339.9494133</v>
      </c>
      <c r="R59" s="39">
        <f t="shared" si="65"/>
        <v>650116304.7087059</v>
      </c>
      <c r="S59" s="39">
        <f t="shared" si="65"/>
        <v>659217932.97462463</v>
      </c>
      <c r="T59" s="39">
        <f t="shared" si="65"/>
        <v>668446984.03627014</v>
      </c>
      <c r="U59" s="39">
        <f t="shared" si="65"/>
        <v>677805241.81277847</v>
      </c>
      <c r="V59" s="39">
        <f t="shared" si="65"/>
        <v>687294515.19815826</v>
      </c>
      <c r="W59" s="39">
        <f t="shared" si="65"/>
        <v>696916638.41093063</v>
      </c>
      <c r="X59" s="39">
        <f t="shared" si="65"/>
        <v>706673471.3486824</v>
      </c>
      <c r="Y59" s="39">
        <f t="shared" si="65"/>
        <v>716566899.94756317</v>
      </c>
      <c r="Z59" s="39">
        <f t="shared" si="65"/>
        <v>726598836.54682922</v>
      </c>
      <c r="AA59" s="39">
        <f t="shared" si="65"/>
        <v>736771220.25848389</v>
      </c>
      <c r="AB59" s="39">
        <f t="shared" si="65"/>
        <v>747086017.34210205</v>
      </c>
      <c r="AC59" s="39">
        <f t="shared" si="65"/>
        <v>757545221.58488846</v>
      </c>
      <c r="AD59" s="39">
        <f t="shared" si="65"/>
        <v>768150854.68707275</v>
      </c>
      <c r="AE59" s="39">
        <f t="shared" si="65"/>
        <v>778904966.6526947</v>
      </c>
      <c r="AF59" s="40">
        <f t="shared" si="65"/>
        <v>789809636.18583679</v>
      </c>
      <c r="AH59" s="10"/>
      <c r="AI59" s="11" t="s">
        <v>203</v>
      </c>
      <c r="AJ59" s="11"/>
      <c r="AK59" s="11"/>
      <c r="AL59" s="17" t="s">
        <v>19</v>
      </c>
      <c r="AM59" s="39">
        <f>AM57-AM58</f>
        <v>0</v>
      </c>
      <c r="AN59" s="39">
        <f t="shared" ref="AN59:BL59" si="66">AN57-AN58</f>
        <v>240989000</v>
      </c>
      <c r="AO59" s="39">
        <f t="shared" si="66"/>
        <v>500919735.40000153</v>
      </c>
      <c r="AP59" s="39">
        <f t="shared" si="66"/>
        <v>781093729.95163727</v>
      </c>
      <c r="AQ59" s="39">
        <f t="shared" si="66"/>
        <v>1082900085.6566849</v>
      </c>
      <c r="AR59" s="39">
        <f t="shared" si="66"/>
        <v>1407821354.8732224</v>
      </c>
      <c r="AS59" s="39">
        <f t="shared" si="66"/>
        <v>1757439805.9036179</v>
      </c>
      <c r="AT59" s="39">
        <f t="shared" si="66"/>
        <v>2133444108.4279938</v>
      </c>
      <c r="AU59" s="39">
        <f t="shared" si="66"/>
        <v>2537636466.9136276</v>
      </c>
      <c r="AV59" s="39">
        <f t="shared" si="66"/>
        <v>2971940232.0151672</v>
      </c>
      <c r="AW59" s="39">
        <f t="shared" si="66"/>
        <v>3438408021.9916077</v>
      </c>
      <c r="AX59" s="39">
        <f t="shared" si="66"/>
        <v>3478293555.0467072</v>
      </c>
      <c r="AY59" s="39">
        <f t="shared" si="66"/>
        <v>3518641760.2852478</v>
      </c>
      <c r="AZ59" s="39">
        <f t="shared" si="66"/>
        <v>3559458004.7045517</v>
      </c>
      <c r="BA59" s="39">
        <f t="shared" si="66"/>
        <v>3600747717.5591202</v>
      </c>
      <c r="BB59" s="39">
        <f t="shared" si="66"/>
        <v>3642516391.0828094</v>
      </c>
      <c r="BC59" s="39">
        <f t="shared" si="66"/>
        <v>3684769581.2193756</v>
      </c>
      <c r="BD59" s="39">
        <f t="shared" si="66"/>
        <v>3727512908.3615189</v>
      </c>
      <c r="BE59" s="39">
        <f t="shared" si="66"/>
        <v>3770752058.0985107</v>
      </c>
      <c r="BF59" s="39">
        <f t="shared" si="66"/>
        <v>3814492781.9724579</v>
      </c>
      <c r="BG59" s="39">
        <f t="shared" si="66"/>
        <v>3858740898.2433319</v>
      </c>
      <c r="BH59" s="39">
        <f t="shared" si="66"/>
        <v>3903502292.6629562</v>
      </c>
      <c r="BI59" s="39">
        <f t="shared" si="66"/>
        <v>3948782919.257843</v>
      </c>
      <c r="BJ59" s="39">
        <f t="shared" si="66"/>
        <v>3994588801.1212387</v>
      </c>
      <c r="BK59" s="39">
        <f t="shared" si="66"/>
        <v>4040926031.2142487</v>
      </c>
      <c r="BL59" s="40">
        <f t="shared" si="66"/>
        <v>4087800773.1763306</v>
      </c>
    </row>
    <row r="60" spans="2:64" x14ac:dyDescent="0.25">
      <c r="B60" s="4" t="s">
        <v>283</v>
      </c>
      <c r="C60" s="5"/>
      <c r="D60" s="5"/>
      <c r="E60" s="5"/>
      <c r="F60" s="12" t="s">
        <v>79</v>
      </c>
      <c r="G60" s="41">
        <f>'Customer Sector'!F13</f>
        <v>4889649.923896499</v>
      </c>
      <c r="H60" s="41">
        <f>G60*(1+'Customer Sector'!$F$14)</f>
        <v>4958105.0228310497</v>
      </c>
      <c r="I60" s="41">
        <f>H60*(1+'Customer Sector'!$F$14)</f>
        <v>5027518.4931506841</v>
      </c>
      <c r="J60" s="41">
        <f>I60*(1+'Customer Sector'!$F$14)</f>
        <v>5097903.7520547938</v>
      </c>
      <c r="K60" s="41">
        <f>J60*(1+'Customer Sector'!$F$14)</f>
        <v>5169274.4045835612</v>
      </c>
      <c r="L60" s="41">
        <f>K60*(1+'Customer Sector'!$F$14)</f>
        <v>5241644.2462477311</v>
      </c>
      <c r="M60" s="41">
        <f>L60*(1+'Customer Sector'!$F$14)</f>
        <v>5315027.2656951994</v>
      </c>
      <c r="N60" s="41">
        <f>M60*(1+'Customer Sector'!$F$14)</f>
        <v>5389437.647414932</v>
      </c>
      <c r="O60" s="41">
        <f>N60*(1+'Customer Sector'!$F$14)</f>
        <v>5464889.774478741</v>
      </c>
      <c r="P60" s="41">
        <f>O60*(1+'Customer Sector'!$F$14)</f>
        <v>5541398.2313214438</v>
      </c>
      <c r="Q60" s="41">
        <f>P60*(1+'Customer Sector'!$F$14)</f>
        <v>5618977.8065599445</v>
      </c>
      <c r="R60" s="41">
        <f>Q60*(1+'Customer Sector'!$F$14)</f>
        <v>5697643.495851784</v>
      </c>
      <c r="S60" s="41">
        <f>R60*(1+'Customer Sector'!$F$14)</f>
        <v>5777410.5047937091</v>
      </c>
      <c r="T60" s="41">
        <f>S60*(1+'Customer Sector'!$F$14)</f>
        <v>5858294.2518608207</v>
      </c>
      <c r="U60" s="41">
        <f>T60*(1+'Customer Sector'!$F$14)</f>
        <v>5940310.3713868726</v>
      </c>
      <c r="V60" s="41">
        <f>U60*(1+'Customer Sector'!$F$14)</f>
        <v>6023474.716586289</v>
      </c>
      <c r="W60" s="41">
        <f>V60*(1+'Customer Sector'!$F$14)</f>
        <v>6107803.3626184976</v>
      </c>
      <c r="X60" s="41">
        <f>W60*(1+'Customer Sector'!$F$14)</f>
        <v>6193312.609695157</v>
      </c>
      <c r="Y60" s="41">
        <f>X60*(1+'Customer Sector'!$F$14)</f>
        <v>6280018.9862308893</v>
      </c>
      <c r="Z60" s="41">
        <f>Y60*(1+'Customer Sector'!$F$14)</f>
        <v>6367939.2520381222</v>
      </c>
      <c r="AA60" s="41">
        <f>Z60*(1+'Customer Sector'!$F$14)</f>
        <v>6457090.4015666563</v>
      </c>
      <c r="AB60" s="41">
        <f>AA60*(1+'Customer Sector'!$F$14)</f>
        <v>6547489.6671885895</v>
      </c>
      <c r="AC60" s="41">
        <f>AB60*(1+'Customer Sector'!$F$14)</f>
        <v>6639154.5225292295</v>
      </c>
      <c r="AD60" s="41">
        <f>AC60*(1+'Customer Sector'!$F$14)</f>
        <v>6732102.6858446384</v>
      </c>
      <c r="AE60" s="41">
        <f>AD60*(1+'Customer Sector'!$F$14)</f>
        <v>6826352.1234464636</v>
      </c>
      <c r="AF60" s="42">
        <f>AE60*(1+'Customer Sector'!$F$14)</f>
        <v>6921921.0531747146</v>
      </c>
      <c r="AH60" s="4" t="s">
        <v>283</v>
      </c>
      <c r="AI60" s="5"/>
      <c r="AJ60" s="5"/>
      <c r="AK60" s="5"/>
      <c r="AL60" s="12" t="s">
        <v>79</v>
      </c>
      <c r="AM60" s="41">
        <f>'Customer Sector'!L13</f>
        <v>10538242.009132421</v>
      </c>
      <c r="AN60" s="41">
        <f>AM60*(1+'Customer Sector'!$L$14)</f>
        <v>10660485.616438357</v>
      </c>
      <c r="AO60" s="41">
        <f>AN60*(1+'Customer Sector'!$L$14)</f>
        <v>10784147.249589043</v>
      </c>
      <c r="AP60" s="41">
        <f>AO60*(1+'Customer Sector'!$L$14)</f>
        <v>10909243.357684277</v>
      </c>
      <c r="AQ60" s="41">
        <f>AP60*(1+'Customer Sector'!$L$14)</f>
        <v>11035790.580633415</v>
      </c>
      <c r="AR60" s="41">
        <f>AQ60*(1+'Customer Sector'!$L$14)</f>
        <v>11163805.751368763</v>
      </c>
      <c r="AS60" s="41">
        <f>AR60*(1+'Customer Sector'!$L$14)</f>
        <v>11293305.898084641</v>
      </c>
      <c r="AT60" s="41">
        <f>AS60*(1+'Customer Sector'!$L$14)</f>
        <v>11424308.246502424</v>
      </c>
      <c r="AU60" s="41">
        <f>AT60*(1+'Customer Sector'!$L$14)</f>
        <v>11556830.222161852</v>
      </c>
      <c r="AV60" s="41">
        <f>AU60*(1+'Customer Sector'!$L$14)</f>
        <v>11690889.45273893</v>
      </c>
      <c r="AW60" s="41">
        <f>AV60*(1+'Customer Sector'!$L$14)</f>
        <v>11826503.770390702</v>
      </c>
      <c r="AX60" s="41">
        <f>AW60*(1+'Customer Sector'!$L$14)</f>
        <v>11963691.214127235</v>
      </c>
      <c r="AY60" s="41">
        <f>AX60*(1+'Customer Sector'!$L$14)</f>
        <v>12102470.032211112</v>
      </c>
      <c r="AZ60" s="41">
        <f>AY60*(1+'Customer Sector'!$L$14)</f>
        <v>12242858.684584761</v>
      </c>
      <c r="BA60" s="41">
        <f>AZ60*(1+'Customer Sector'!$L$14)</f>
        <v>12384875.845325945</v>
      </c>
      <c r="BB60" s="41">
        <f>BA60*(1+'Customer Sector'!$L$14)</f>
        <v>12528540.405131727</v>
      </c>
      <c r="BC60" s="41">
        <f>BB60*(1+'Customer Sector'!$L$14)</f>
        <v>12673871.473831257</v>
      </c>
      <c r="BD60" s="41">
        <f>BC60*(1+'Customer Sector'!$L$14)</f>
        <v>12820888.382927701</v>
      </c>
      <c r="BE60" s="41">
        <f>BD60*(1+'Customer Sector'!$L$14)</f>
        <v>12969610.688169664</v>
      </c>
      <c r="BF60" s="41">
        <f>BE60*(1+'Customer Sector'!$L$14)</f>
        <v>13120058.172152432</v>
      </c>
      <c r="BG60" s="41">
        <f>BF60*(1+'Customer Sector'!$L$14)</f>
        <v>13272250.8469494</v>
      </c>
      <c r="BH60" s="41">
        <f>BG60*(1+'Customer Sector'!$L$14)</f>
        <v>13426208.956774015</v>
      </c>
      <c r="BI60" s="41">
        <f>BH60*(1+'Customer Sector'!$L$14)</f>
        <v>13581952.980672594</v>
      </c>
      <c r="BJ60" s="41">
        <f>BI60*(1+'Customer Sector'!$L$14)</f>
        <v>13739503.635248397</v>
      </c>
      <c r="BK60" s="41">
        <f>BJ60*(1+'Customer Sector'!$L$14)</f>
        <v>13898881.877417279</v>
      </c>
      <c r="BL60" s="42">
        <f>BK60*(1+'Customer Sector'!$L$14)</f>
        <v>14060108.90719532</v>
      </c>
    </row>
    <row r="61" spans="2:64" x14ac:dyDescent="0.25">
      <c r="B61" s="4"/>
      <c r="C61" s="5" t="s">
        <v>280</v>
      </c>
      <c r="D61" s="5"/>
      <c r="E61" s="5"/>
      <c r="F61" s="12" t="s">
        <v>19</v>
      </c>
      <c r="G61" s="41">
        <f>G60</f>
        <v>4889649.923896499</v>
      </c>
      <c r="H61" s="41">
        <f>(G61*(1+'Customer Sector'!$F$14))-H75</f>
        <v>4947905.0228310497</v>
      </c>
      <c r="I61" s="41">
        <f ca="1">(H61*(1+'Customer Sector'!$F$14))-I75</f>
        <v>5006924.6931506842</v>
      </c>
      <c r="J61" s="41">
        <f ca="1">(I61*(1+'Customer Sector'!$F$14))-J75</f>
        <v>5066719.3838547943</v>
      </c>
      <c r="K61" s="41">
        <f ca="1">(J61*(1+'Customer Sector'!$F$14))-K75</f>
        <v>5127299.6889537619</v>
      </c>
      <c r="L61" s="41">
        <f ca="1">(K61*(1+'Customer Sector'!$F$14))-L75</f>
        <v>5188676.3494927399</v>
      </c>
      <c r="M61" s="41">
        <f ca="1">(L61*(1+'Customer Sector'!$F$14))-M75</f>
        <v>5250860.2556037316</v>
      </c>
      <c r="N61" s="41">
        <f ca="1">(M61*(1+'Customer Sector'!$F$14))-N75</f>
        <v>5313862.448586368</v>
      </c>
      <c r="O61" s="41">
        <f ca="1">(N61*(1+'Customer Sector'!$F$14))-O75</f>
        <v>5377694.1230177814</v>
      </c>
      <c r="P61" s="41">
        <f ca="1">(O61*(1+'Customer Sector'!$F$14))-P75</f>
        <v>5442366.6288919915</v>
      </c>
      <c r="Q61" s="41">
        <f ca="1">(P61*(1+'Customer Sector'!$F$14))-Q75</f>
        <v>5507891.4737891993</v>
      </c>
      <c r="R61" s="41">
        <f ca="1">(Q61*(1+'Customer Sector'!$F$14))-R75</f>
        <v>5585001.9544222485</v>
      </c>
      <c r="S61" s="41">
        <f ca="1">(R61*(1+'Customer Sector'!$F$14))-S75</f>
        <v>5663191.9817841602</v>
      </c>
      <c r="T61" s="41">
        <f ca="1">(S61*(1+'Customer Sector'!$F$14))-T75</f>
        <v>5742476.6695291381</v>
      </c>
      <c r="U61" s="41">
        <f ca="1">(T61*(1+'Customer Sector'!$F$14))-U75</f>
        <v>5822871.3429025458</v>
      </c>
      <c r="V61" s="41">
        <f ca="1">(U61*(1+'Customer Sector'!$F$14))-V75</f>
        <v>5904391.5417031813</v>
      </c>
      <c r="W61" s="41">
        <f ca="1">(V61*(1+'Customer Sector'!$F$14))-W75</f>
        <v>5987053.0232870262</v>
      </c>
      <c r="X61" s="41">
        <f ca="1">(W61*(1+'Customer Sector'!$F$14))-X75</f>
        <v>6070871.7656130446</v>
      </c>
      <c r="Y61" s="41">
        <f ca="1">(X61*(1+'Customer Sector'!$F$14))-Y75</f>
        <v>6155863.9703316269</v>
      </c>
      <c r="Z61" s="41">
        <f ca="1">(Y61*(1+'Customer Sector'!$F$14))-Z75</f>
        <v>6242046.06591627</v>
      </c>
      <c r="AA61" s="41">
        <f ca="1">(Z61*(1+'Customer Sector'!$F$14))-AA75</f>
        <v>6329434.7108390983</v>
      </c>
      <c r="AB61" s="41">
        <f ca="1">(AA61*(1+'Customer Sector'!$F$14))-AB75</f>
        <v>6418046.7967908457</v>
      </c>
      <c r="AC61" s="41">
        <f ca="1">(AB61*(1+'Customer Sector'!$F$14))-AC75</f>
        <v>6507899.4519459177</v>
      </c>
      <c r="AD61" s="41">
        <f ca="1">(AC61*(1+'Customer Sector'!$F$14))-AD75</f>
        <v>6599010.0442731604</v>
      </c>
      <c r="AE61" s="41">
        <f ca="1">(AD61*(1+'Customer Sector'!$F$14))-AE75</f>
        <v>6691396.184892985</v>
      </c>
      <c r="AF61" s="42">
        <f ca="1">(AE61*(1+'Customer Sector'!$F$14))-AF75</f>
        <v>6785075.7314814869</v>
      </c>
      <c r="AH61" s="4"/>
      <c r="AI61" s="5" t="s">
        <v>280</v>
      </c>
      <c r="AJ61" s="5"/>
      <c r="AK61" s="5"/>
      <c r="AL61" s="12" t="s">
        <v>19</v>
      </c>
      <c r="AM61" s="41">
        <f>AM60</f>
        <v>10538242.009132421</v>
      </c>
      <c r="AN61" s="41">
        <f>(AM61*(1+'Customer Sector'!$L$14))-AN75</f>
        <v>10605137.616438357</v>
      </c>
      <c r="AO61" s="41">
        <f>(AN61*(1+'Customer Sector'!$L$14))-AO75</f>
        <v>10672089.688789042</v>
      </c>
      <c r="AP61" s="41">
        <f>(AO61*(1+'Customer Sector'!$L$14))-AP75</f>
        <v>10739089.527366996</v>
      </c>
      <c r="AQ61" s="41">
        <f>(AP61*(1+'Customer Sector'!$L$14))-AQ75</f>
        <v>10806128.210848896</v>
      </c>
      <c r="AR61" s="41">
        <f>(AQ61*(1+'Customer Sector'!$L$14))-AR75</f>
        <v>10873196.591243725</v>
      </c>
      <c r="AS61" s="41">
        <f>(AR61*(1+'Customer Sector'!$L$14))-AS75</f>
        <v>10940285.289662072</v>
      </c>
      <c r="AT61" s="41">
        <f>(AS61*(1+'Customer Sector'!$L$14))-AT75</f>
        <v>11007384.692015551</v>
      </c>
      <c r="AU61" s="41">
        <f>(AT61*(1+'Customer Sector'!$L$14))-AU75</f>
        <v>11074484.944645243</v>
      </c>
      <c r="AV61" s="41">
        <f>(AU61*(1+'Customer Sector'!$L$14))-AV75</f>
        <v>11141575.949878071</v>
      </c>
      <c r="AW61" s="41">
        <f>(AV61*(1+'Customer Sector'!$L$14))-AW75</f>
        <v>11208647.361509973</v>
      </c>
      <c r="AX61" s="41">
        <f>(AW61*(1+'Customer Sector'!$L$14))-AX75</f>
        <v>11338667.670903489</v>
      </c>
      <c r="AY61" s="41">
        <f>(AX61*(1+'Customer Sector'!$L$14))-AY75</f>
        <v>11470196.215885971</v>
      </c>
      <c r="AZ61" s="41">
        <f>(AY61*(1+'Customer Sector'!$L$14))-AZ75</f>
        <v>11603250.491990248</v>
      </c>
      <c r="BA61" s="41">
        <f>(AZ61*(1+'Customer Sector'!$L$14))-BA75</f>
        <v>11737848.197697336</v>
      </c>
      <c r="BB61" s="41">
        <f>(BA61*(1+'Customer Sector'!$L$14))-BB75</f>
        <v>11874007.236790625</v>
      </c>
      <c r="BC61" s="41">
        <f>(BB61*(1+'Customer Sector'!$L$14))-BC75</f>
        <v>12011745.720737398</v>
      </c>
      <c r="BD61" s="41">
        <f>(BC61*(1+'Customer Sector'!$L$14))-BD75</f>
        <v>12151081.971097952</v>
      </c>
      <c r="BE61" s="41">
        <f>(BD61*(1+'Customer Sector'!$L$14))-BE75</f>
        <v>12292034.521962689</v>
      </c>
      <c r="BF61" s="41">
        <f>(BE61*(1+'Customer Sector'!$L$14))-BF75</f>
        <v>12434622.122417457</v>
      </c>
      <c r="BG61" s="41">
        <f>(BF61*(1+'Customer Sector'!$L$14))-BG75</f>
        <v>12578863.739037501</v>
      </c>
      <c r="BH61" s="41">
        <f>(BG61*(1+'Customer Sector'!$L$14))-BH75</f>
        <v>12724778.558410337</v>
      </c>
      <c r="BI61" s="41">
        <f>(BH61*(1+'Customer Sector'!$L$14))-BI75</f>
        <v>12872385.989687897</v>
      </c>
      <c r="BJ61" s="41">
        <f>(BI61*(1+'Customer Sector'!$L$14))-BJ75</f>
        <v>13021705.667168278</v>
      </c>
      <c r="BK61" s="41">
        <f>(BJ61*(1+'Customer Sector'!$L$14))-BK75</f>
        <v>13172757.452907432</v>
      </c>
      <c r="BL61" s="42">
        <f>(BK61*(1+'Customer Sector'!$L$14))-BL75</f>
        <v>13325561.439361159</v>
      </c>
    </row>
    <row r="62" spans="2:64" x14ac:dyDescent="0.25">
      <c r="B62" s="4"/>
      <c r="C62" s="5" t="s">
        <v>284</v>
      </c>
      <c r="D62" s="5"/>
      <c r="E62" s="5"/>
      <c r="F62" s="12" t="s">
        <v>19</v>
      </c>
      <c r="G62" s="41">
        <f>G60-G61</f>
        <v>0</v>
      </c>
      <c r="H62" s="41">
        <f>H60-H61</f>
        <v>10200</v>
      </c>
      <c r="I62" s="41">
        <f t="shared" ref="I62:AF62" ca="1" si="67">I60-I61</f>
        <v>20593.799999999814</v>
      </c>
      <c r="J62" s="41">
        <f t="shared" ca="1" si="67"/>
        <v>31184.368199999444</v>
      </c>
      <c r="K62" s="41">
        <f t="shared" ca="1" si="67"/>
        <v>41974.715629799291</v>
      </c>
      <c r="L62" s="41">
        <f t="shared" ca="1" si="67"/>
        <v>52967.896754991263</v>
      </c>
      <c r="M62" s="41">
        <f t="shared" ca="1" si="67"/>
        <v>64167.010091467761</v>
      </c>
      <c r="N62" s="41">
        <f t="shared" ca="1" si="67"/>
        <v>75575.198828564025</v>
      </c>
      <c r="O62" s="41">
        <f t="shared" ca="1" si="67"/>
        <v>87195.651460959576</v>
      </c>
      <c r="P62" s="41">
        <f t="shared" ca="1" si="67"/>
        <v>99031.602429452352</v>
      </c>
      <c r="Q62" s="41">
        <f t="shared" ca="1" si="67"/>
        <v>111086.33277074527</v>
      </c>
      <c r="R62" s="41">
        <f t="shared" ca="1" si="67"/>
        <v>112641.54142953549</v>
      </c>
      <c r="S62" s="41">
        <f t="shared" ca="1" si="67"/>
        <v>114218.5230095489</v>
      </c>
      <c r="T62" s="41">
        <f t="shared" ca="1" si="67"/>
        <v>115817.58233168256</v>
      </c>
      <c r="U62" s="41">
        <f t="shared" ca="1" si="67"/>
        <v>117439.02848432679</v>
      </c>
      <c r="V62" s="41">
        <f t="shared" ca="1" si="67"/>
        <v>119083.17488310765</v>
      </c>
      <c r="W62" s="41">
        <f t="shared" ca="1" si="67"/>
        <v>120750.33933147136</v>
      </c>
      <c r="X62" s="41">
        <f t="shared" ca="1" si="67"/>
        <v>122440.84408211242</v>
      </c>
      <c r="Y62" s="41">
        <f t="shared" ca="1" si="67"/>
        <v>124155.01589926239</v>
      </c>
      <c r="Z62" s="41">
        <f t="shared" ca="1" si="67"/>
        <v>125893.18612185214</v>
      </c>
      <c r="AA62" s="41">
        <f t="shared" ca="1" si="67"/>
        <v>127655.69072755799</v>
      </c>
      <c r="AB62" s="41">
        <f t="shared" ca="1" si="67"/>
        <v>129442.87039774377</v>
      </c>
      <c r="AC62" s="41">
        <f t="shared" ca="1" si="67"/>
        <v>131255.07058331184</v>
      </c>
      <c r="AD62" s="41">
        <f t="shared" ca="1" si="67"/>
        <v>133092.64157147799</v>
      </c>
      <c r="AE62" s="41">
        <f t="shared" ca="1" si="67"/>
        <v>134955.93855347857</v>
      </c>
      <c r="AF62" s="42">
        <f t="shared" ca="1" si="67"/>
        <v>136845.32169322763</v>
      </c>
      <c r="AH62" s="4"/>
      <c r="AI62" s="5" t="s">
        <v>284</v>
      </c>
      <c r="AJ62" s="5"/>
      <c r="AK62" s="5"/>
      <c r="AL62" s="12" t="s">
        <v>19</v>
      </c>
      <c r="AM62" s="41">
        <f>AM60-AM61</f>
        <v>0</v>
      </c>
      <c r="AN62" s="41">
        <f>AN60-AN61</f>
        <v>55348</v>
      </c>
      <c r="AO62" s="41">
        <f t="shared" ref="AO62:BL62" si="68">AO60-AO61</f>
        <v>112057.56080000103</v>
      </c>
      <c r="AP62" s="41">
        <f t="shared" si="68"/>
        <v>170153.83031728119</v>
      </c>
      <c r="AQ62" s="41">
        <f t="shared" si="68"/>
        <v>229662.36978451908</v>
      </c>
      <c r="AR62" s="41">
        <f t="shared" si="68"/>
        <v>290609.16012503766</v>
      </c>
      <c r="AS62" s="41">
        <f t="shared" si="68"/>
        <v>353020.60842256807</v>
      </c>
      <c r="AT62" s="41">
        <f t="shared" si="68"/>
        <v>416923.55448687263</v>
      </c>
      <c r="AU62" s="41">
        <f t="shared" si="68"/>
        <v>482345.27751660906</v>
      </c>
      <c r="AV62" s="41">
        <f t="shared" si="68"/>
        <v>549313.50286085904</v>
      </c>
      <c r="AW62" s="41">
        <f t="shared" si="68"/>
        <v>617856.40888072923</v>
      </c>
      <c r="AX62" s="41">
        <f t="shared" si="68"/>
        <v>625023.54322374612</v>
      </c>
      <c r="AY62" s="41">
        <f t="shared" si="68"/>
        <v>632273.81632514112</v>
      </c>
      <c r="AZ62" s="41">
        <f t="shared" si="68"/>
        <v>639608.1925945133</v>
      </c>
      <c r="BA62" s="41">
        <f t="shared" si="68"/>
        <v>647027.64762860909</v>
      </c>
      <c r="BB62" s="41">
        <f t="shared" si="68"/>
        <v>654533.16834110208</v>
      </c>
      <c r="BC62" s="41">
        <f t="shared" si="68"/>
        <v>662125.75309385918</v>
      </c>
      <c r="BD62" s="41">
        <f t="shared" si="68"/>
        <v>669806.41182974912</v>
      </c>
      <c r="BE62" s="41">
        <f t="shared" si="68"/>
        <v>677576.16620697454</v>
      </c>
      <c r="BF62" s="41">
        <f t="shared" si="68"/>
        <v>685436.04973497428</v>
      </c>
      <c r="BG62" s="41">
        <f t="shared" si="68"/>
        <v>693387.10791189969</v>
      </c>
      <c r="BH62" s="41">
        <f t="shared" si="68"/>
        <v>701430.39836367778</v>
      </c>
      <c r="BI62" s="41">
        <f t="shared" si="68"/>
        <v>709566.99098469689</v>
      </c>
      <c r="BJ62" s="41">
        <f t="shared" si="68"/>
        <v>717797.9680801183</v>
      </c>
      <c r="BK62" s="41">
        <f t="shared" si="68"/>
        <v>726124.42450984754</v>
      </c>
      <c r="BL62" s="42">
        <f t="shared" si="68"/>
        <v>734547.46783416159</v>
      </c>
    </row>
    <row r="63" spans="2:64" x14ac:dyDescent="0.25">
      <c r="B63" s="8" t="s">
        <v>286</v>
      </c>
      <c r="C63" s="9"/>
      <c r="D63" s="9"/>
      <c r="E63" s="9"/>
      <c r="F63" s="339" t="s">
        <v>6</v>
      </c>
      <c r="G63" s="46">
        <v>0</v>
      </c>
      <c r="H63" s="39">
        <f>H9*(1+'Customer Sector'!$F$88)</f>
        <v>57840000</v>
      </c>
      <c r="I63" s="39">
        <f>I9*(1+'Customer Sector'!$F$88)</f>
        <v>58360559.999999993</v>
      </c>
      <c r="J63" s="39">
        <f>J9*(1+'Customer Sector'!$F$88)</f>
        <v>58885805.039999984</v>
      </c>
      <c r="K63" s="39">
        <f>K9*(1+'Customer Sector'!$F$88)</f>
        <v>59415777.285359979</v>
      </c>
      <c r="L63" s="39">
        <f>L9*(1+'Customer Sector'!$F$88)</f>
        <v>59950519.280928209</v>
      </c>
      <c r="M63" s="39">
        <f>M9*(1+'Customer Sector'!$F$88)</f>
        <v>60490073.95445656</v>
      </c>
      <c r="N63" s="39">
        <f>N9*(1+'Customer Sector'!$F$88)</f>
        <v>61034484.62004666</v>
      </c>
      <c r="O63" s="39">
        <f>O9*(1+'Customer Sector'!$F$88)</f>
        <v>61583794.981627077</v>
      </c>
      <c r="P63" s="39">
        <f>P9*(1+'Customer Sector'!$F$88)</f>
        <v>62138049.136461712</v>
      </c>
      <c r="Q63" s="39">
        <f>Q9*(1+'Customer Sector'!$F$88)</f>
        <v>62697291.578689858</v>
      </c>
      <c r="R63" s="39">
        <f>R9*(1+'Customer Sector'!$F$88)</f>
        <v>0</v>
      </c>
      <c r="S63" s="39">
        <f>S9*(1+'Customer Sector'!$F$88)</f>
        <v>0</v>
      </c>
      <c r="T63" s="39">
        <f>T9*(1+'Customer Sector'!$F$88)</f>
        <v>0</v>
      </c>
      <c r="U63" s="39">
        <f>U9*(1+'Customer Sector'!$F$88)</f>
        <v>0</v>
      </c>
      <c r="V63" s="39">
        <f>V9*(1+'Customer Sector'!$F$88)</f>
        <v>0</v>
      </c>
      <c r="W63" s="39">
        <f>W9*(1+'Customer Sector'!$F$88)</f>
        <v>0</v>
      </c>
      <c r="X63" s="39">
        <f>X9*(1+'Customer Sector'!$F$88)</f>
        <v>0</v>
      </c>
      <c r="Y63" s="39">
        <f>Y9*(1+'Customer Sector'!$F$88)</f>
        <v>0</v>
      </c>
      <c r="Z63" s="39">
        <f>Z9*(1+'Customer Sector'!$F$88)</f>
        <v>0</v>
      </c>
      <c r="AA63" s="39">
        <f>AA9*(1+'Customer Sector'!$F$88)</f>
        <v>0</v>
      </c>
      <c r="AB63" s="39">
        <f>AB9*(1+'Customer Sector'!$F$88)</f>
        <v>0</v>
      </c>
      <c r="AC63" s="39">
        <f>AC9*(1+'Customer Sector'!$F$88)</f>
        <v>0</v>
      </c>
      <c r="AD63" s="39">
        <f>AD9*(1+'Customer Sector'!$F$88)</f>
        <v>0</v>
      </c>
      <c r="AE63" s="39">
        <f>AE9*(1+'Customer Sector'!$F$88)</f>
        <v>0</v>
      </c>
      <c r="AF63" s="40">
        <f>AF9*(1+'Customer Sector'!$F$88)</f>
        <v>0</v>
      </c>
      <c r="AH63" s="8" t="s">
        <v>286</v>
      </c>
      <c r="AI63" s="9"/>
      <c r="AJ63" s="9"/>
      <c r="AK63" s="9"/>
      <c r="AL63" s="17" t="s">
        <v>6</v>
      </c>
      <c r="AM63" s="46">
        <v>0</v>
      </c>
      <c r="AN63" s="39">
        <f>AN9*(1+'Customer Sector'!$L$88)</f>
        <v>240989000</v>
      </c>
      <c r="AO63" s="39">
        <f>AO9*(1+'Customer Sector'!$L$88)</f>
        <v>257135263</v>
      </c>
      <c r="AP63" s="39">
        <f>AP9*(1+'Customer Sector'!$L$88)</f>
        <v>274363325.62099999</v>
      </c>
      <c r="AQ63" s="39">
        <f>AQ9*(1+'Customer Sector'!$L$88)</f>
        <v>292745668.43760699</v>
      </c>
      <c r="AR63" s="39">
        <f>AR9*(1+'Customer Sector'!$L$88)</f>
        <v>312359628.22292662</v>
      </c>
      <c r="AS63" s="39">
        <f>AS9*(1+'Customer Sector'!$L$88)</f>
        <v>333287723.31386268</v>
      </c>
      <c r="AT63" s="39">
        <f>AT9*(1+'Customer Sector'!$L$88)</f>
        <v>355618000.77589148</v>
      </c>
      <c r="AU63" s="39">
        <f>AU9*(1+'Customer Sector'!$L$88)</f>
        <v>379444406.82787621</v>
      </c>
      <c r="AV63" s="39">
        <f>AV9*(1+'Customer Sector'!$L$88)</f>
        <v>404867182.0853439</v>
      </c>
      <c r="AW63" s="39">
        <f>AW9*(1+'Customer Sector'!$L$88)</f>
        <v>431993283.2850619</v>
      </c>
      <c r="AX63" s="39">
        <f>AX9*(1+'Customer Sector'!$L$88)</f>
        <v>0</v>
      </c>
      <c r="AY63" s="39">
        <f>AY9*(1+'Customer Sector'!$L$88)</f>
        <v>0</v>
      </c>
      <c r="AZ63" s="39">
        <f>AZ9*(1+'Customer Sector'!$L$88)</f>
        <v>0</v>
      </c>
      <c r="BA63" s="39">
        <f>BA9*(1+'Customer Sector'!$L$88)</f>
        <v>0</v>
      </c>
      <c r="BB63" s="39">
        <f>BB9*(1+'Customer Sector'!$L$88)</f>
        <v>0</v>
      </c>
      <c r="BC63" s="39">
        <f>BC9*(1+'Customer Sector'!$L$88)</f>
        <v>0</v>
      </c>
      <c r="BD63" s="39">
        <f>BD9*(1+'Customer Sector'!$L$88)</f>
        <v>0</v>
      </c>
      <c r="BE63" s="39">
        <f>BE9*(1+'Customer Sector'!$L$88)</f>
        <v>0</v>
      </c>
      <c r="BF63" s="39">
        <f>BF9*(1+'Customer Sector'!$L$88)</f>
        <v>0</v>
      </c>
      <c r="BG63" s="39">
        <f>BG9*(1+'Customer Sector'!$L$88)</f>
        <v>0</v>
      </c>
      <c r="BH63" s="39">
        <f>BH9*(1+'Customer Sector'!$L$88)</f>
        <v>0</v>
      </c>
      <c r="BI63" s="39">
        <f>BI9*(1+'Customer Sector'!$L$88)</f>
        <v>0</v>
      </c>
      <c r="BJ63" s="39">
        <f>BJ9*(1+'Customer Sector'!$L$88)</f>
        <v>0</v>
      </c>
      <c r="BK63" s="39">
        <f>BK9*(1+'Customer Sector'!$L$88)</f>
        <v>0</v>
      </c>
      <c r="BL63" s="40">
        <f>BL9*(1+'Customer Sector'!$L$88)</f>
        <v>0</v>
      </c>
    </row>
    <row r="64" spans="2:64" x14ac:dyDescent="0.25">
      <c r="B64" s="8"/>
      <c r="C64" s="404" t="s">
        <v>287</v>
      </c>
      <c r="D64" s="404"/>
      <c r="E64" s="51"/>
      <c r="F64" s="52" t="s">
        <v>19</v>
      </c>
      <c r="G64" s="405">
        <v>0</v>
      </c>
      <c r="H64" s="82">
        <f>SUM(H65:H74)</f>
        <v>57840000</v>
      </c>
      <c r="I64" s="82">
        <f>SUM(I65:I74)</f>
        <v>114515899.80582523</v>
      </c>
      <c r="J64" s="82">
        <f t="shared" ref="J64:AF64" si="69">SUM(J65:J74)</f>
        <v>170066290.28837401</v>
      </c>
      <c r="K64" s="82">
        <f t="shared" si="69"/>
        <v>224528680.47795609</v>
      </c>
      <c r="L64" s="82">
        <f t="shared" si="69"/>
        <v>277939529.45370114</v>
      </c>
      <c r="M64" s="82">
        <f t="shared" si="69"/>
        <v>330334277.30756444</v>
      </c>
      <c r="N64" s="82">
        <f t="shared" si="69"/>
        <v>381747375.20991504</v>
      </c>
      <c r="O64" s="82">
        <f t="shared" si="69"/>
        <v>432212314.60290372</v>
      </c>
      <c r="P64" s="82">
        <f t="shared" si="69"/>
        <v>481761655.54704791</v>
      </c>
      <c r="Q64" s="82">
        <f t="shared" si="69"/>
        <v>530427054.24572659</v>
      </c>
      <c r="R64" s="82">
        <f t="shared" si="69"/>
        <v>471939330.53104001</v>
      </c>
      <c r="S64" s="82">
        <f t="shared" si="69"/>
        <v>414767787.22145236</v>
      </c>
      <c r="T64" s="82">
        <f t="shared" si="69"/>
        <v>358870602.85560358</v>
      </c>
      <c r="U64" s="82">
        <f t="shared" si="69"/>
        <v>304207142.6979624</v>
      </c>
      <c r="V64" s="82">
        <f t="shared" si="69"/>
        <v>250737923.89162117</v>
      </c>
      <c r="W64" s="82">
        <f t="shared" si="69"/>
        <v>198424581.62351674</v>
      </c>
      <c r="X64" s="82">
        <f t="shared" si="69"/>
        <v>147229836.27256626</v>
      </c>
      <c r="Y64" s="82">
        <f t="shared" si="69"/>
        <v>97117461.512065828</v>
      </c>
      <c r="Z64" s="82">
        <f t="shared" si="69"/>
        <v>48052253.338535063</v>
      </c>
      <c r="AA64" s="82">
        <f t="shared" si="69"/>
        <v>0</v>
      </c>
      <c r="AB64" s="82">
        <f t="shared" si="69"/>
        <v>0</v>
      </c>
      <c r="AC64" s="82">
        <f t="shared" si="69"/>
        <v>0</v>
      </c>
      <c r="AD64" s="82">
        <f t="shared" si="69"/>
        <v>0</v>
      </c>
      <c r="AE64" s="82">
        <f t="shared" si="69"/>
        <v>0</v>
      </c>
      <c r="AF64" s="83">
        <f t="shared" si="69"/>
        <v>0</v>
      </c>
      <c r="AH64" s="8"/>
      <c r="AI64" s="404" t="s">
        <v>287</v>
      </c>
      <c r="AJ64" s="404"/>
      <c r="AK64" s="51"/>
      <c r="AL64" s="52" t="s">
        <v>6</v>
      </c>
      <c r="AM64" s="405">
        <v>0</v>
      </c>
      <c r="AN64" s="82">
        <f t="shared" ref="AN64:BL64" si="70">SUM(AN65:AN74)</f>
        <v>240989000</v>
      </c>
      <c r="AO64" s="82">
        <f t="shared" si="70"/>
        <v>491105165.91262138</v>
      </c>
      <c r="AP64" s="82">
        <f t="shared" si="70"/>
        <v>751164457.57500124</v>
      </c>
      <c r="AQ64" s="82">
        <f t="shared" si="70"/>
        <v>1022031549.5783849</v>
      </c>
      <c r="AR64" s="82">
        <f t="shared" si="70"/>
        <v>1304623268.5902905</v>
      </c>
      <c r="AS64" s="82">
        <f t="shared" si="70"/>
        <v>1599912255.9257951</v>
      </c>
      <c r="AT64" s="82">
        <f t="shared" si="70"/>
        <v>1908930870.6067607</v>
      </c>
      <c r="AU64" s="82">
        <f t="shared" si="70"/>
        <v>2232775349.164537</v>
      </c>
      <c r="AV64" s="82">
        <f t="shared" si="70"/>
        <v>2572610239.5266418</v>
      </c>
      <c r="AW64" s="82">
        <f t="shared" si="70"/>
        <v>2929673127.4856849</v>
      </c>
      <c r="AX64" s="82">
        <f t="shared" si="70"/>
        <v>2844342842.2191114</v>
      </c>
      <c r="AY64" s="82">
        <f t="shared" si="70"/>
        <v>2761497905.0670986</v>
      </c>
      <c r="AZ64" s="82">
        <f t="shared" si="70"/>
        <v>2681065927.2496104</v>
      </c>
      <c r="BA64" s="82">
        <f t="shared" si="70"/>
        <v>2602976628.3976798</v>
      </c>
      <c r="BB64" s="82">
        <f t="shared" si="70"/>
        <v>2527161775.1433787</v>
      </c>
      <c r="BC64" s="82">
        <f t="shared" si="70"/>
        <v>2298873452.657238</v>
      </c>
      <c r="BD64" s="82">
        <f t="shared" si="70"/>
        <v>2066870632.8000822</v>
      </c>
      <c r="BE64" s="82">
        <f t="shared" si="70"/>
        <v>1830567138.8042984</v>
      </c>
      <c r="BF64" s="82">
        <f t="shared" si="70"/>
        <v>1589347344.4892454</v>
      </c>
      <c r="BG64" s="82">
        <f t="shared" si="70"/>
        <v>1342563915.002121</v>
      </c>
      <c r="BH64" s="82">
        <f t="shared" si="70"/>
        <v>1089535404.5228903</v>
      </c>
      <c r="BI64" s="82">
        <f t="shared" si="70"/>
        <v>829543701.10711551</v>
      </c>
      <c r="BJ64" s="82">
        <f t="shared" si="70"/>
        <v>561831308.1892451</v>
      </c>
      <c r="BK64" s="82">
        <f t="shared" si="70"/>
        <v>285598451.57380122</v>
      </c>
      <c r="BL64" s="83">
        <f t="shared" si="70"/>
        <v>0</v>
      </c>
    </row>
    <row r="65" spans="2:64" ht="15" hidden="1" customHeight="1" outlineLevel="1" x14ac:dyDescent="0.25">
      <c r="B65" s="10"/>
      <c r="C65" s="51"/>
      <c r="D65" s="51" t="s">
        <v>26</v>
      </c>
      <c r="E65" s="51"/>
      <c r="F65" s="52" t="s">
        <v>19</v>
      </c>
      <c r="G65" s="405">
        <v>0</v>
      </c>
      <c r="H65" s="82">
        <f>H63</f>
        <v>57840000</v>
      </c>
      <c r="I65" s="82">
        <f>IF('Customer Sector'!$F$29+$G$15&gt;=I$15,H65/(1+'Customer Sector'!$F$30),0)</f>
        <v>56155339.805825241</v>
      </c>
      <c r="J65" s="82">
        <f>IF('Customer Sector'!$F$29+$G$15&gt;=J$15,I65/(1+'Customer Sector'!$F$30),0)</f>
        <v>54519747.38429635</v>
      </c>
      <c r="K65" s="82">
        <f>IF('Customer Sector'!$F$29+$G$15&gt;=K$15,J65/(1+'Customer Sector'!$F$30),0)</f>
        <v>52931793.576986745</v>
      </c>
      <c r="L65" s="82">
        <f>IF('Customer Sector'!$F$29+$G$15&gt;=L$15,K65/(1+'Customer Sector'!$F$30),0)</f>
        <v>51390090.85144344</v>
      </c>
      <c r="M65" s="82">
        <f>IF('Customer Sector'!$F$29+$G$15&gt;=M$15,L65/(1+'Customer Sector'!$F$30),0)</f>
        <v>49893292.088780038</v>
      </c>
      <c r="N65" s="82">
        <f>IF('Customer Sector'!$F$29+$G$15&gt;=N$15,M65/(1+'Customer Sector'!$F$30),0)</f>
        <v>48440089.406582557</v>
      </c>
      <c r="O65" s="82">
        <f>IF('Customer Sector'!$F$29+$G$15&gt;=O$15,N65/(1+'Customer Sector'!$F$30),0)</f>
        <v>47029213.016099565</v>
      </c>
      <c r="P65" s="82">
        <f>IF('Customer Sector'!$F$29+$G$15&gt;=P$15,O65/(1+'Customer Sector'!$F$30),0)</f>
        <v>45659430.112718023</v>
      </c>
      <c r="Q65" s="82">
        <f>IF('Customer Sector'!$F$29+$G$15&gt;=Q$15,P65/(1+'Customer Sector'!$F$30),0)</f>
        <v>44329543.798755363</v>
      </c>
      <c r="R65" s="82">
        <f>IF('Customer Sector'!$F$29+$G$15&gt;=R$15,Q65/(1+'Customer Sector'!$F$30),0)</f>
        <v>0</v>
      </c>
      <c r="S65" s="82">
        <f>IF('Customer Sector'!$F$29+$G$15&gt;=S$15,R65/(1+'Customer Sector'!$F$30),0)</f>
        <v>0</v>
      </c>
      <c r="T65" s="82">
        <f>IF('Customer Sector'!$F$29+$G$15&gt;=T$15,S65/(1+'Customer Sector'!$F$30),0)</f>
        <v>0</v>
      </c>
      <c r="U65" s="82">
        <f>IF('Customer Sector'!$F$29+$G$15&gt;=U$15,T65/(1+'Customer Sector'!$F$30),0)</f>
        <v>0</v>
      </c>
      <c r="V65" s="82">
        <f>IF('Customer Sector'!$F$29+$G$15&gt;=V$15,U65/(1+'Customer Sector'!$F$30),0)</f>
        <v>0</v>
      </c>
      <c r="W65" s="82">
        <f>IF('Customer Sector'!$F$29+$G$15&gt;=W$15,V65/(1+'Customer Sector'!$F$30),0)</f>
        <v>0</v>
      </c>
      <c r="X65" s="82">
        <f>IF('Customer Sector'!$F$29+$G$15&gt;=X$15,W65/(1+'Customer Sector'!$F$30),0)</f>
        <v>0</v>
      </c>
      <c r="Y65" s="82">
        <f>IF('Customer Sector'!$F$29+$G$15&gt;=Y$15,X65/(1+'Customer Sector'!$F$30),0)</f>
        <v>0</v>
      </c>
      <c r="Z65" s="82">
        <f>IF('Customer Sector'!$F$29+$G$15&gt;=Z$15,Y65/(1+'Customer Sector'!$F$30),0)</f>
        <v>0</v>
      </c>
      <c r="AA65" s="82">
        <f>IF('Customer Sector'!$F$29+$G$15&gt;=AA$15,Z65/(1+'Customer Sector'!$F$30),0)</f>
        <v>0</v>
      </c>
      <c r="AB65" s="82">
        <f>IF('Customer Sector'!$F$29+$G$15&gt;=AB$15,AA65/(1+'Customer Sector'!$F$30),0)</f>
        <v>0</v>
      </c>
      <c r="AC65" s="82">
        <f>IF('Customer Sector'!$F$29+$G$15&gt;=AC$15,AB65/(1+'Customer Sector'!$F$30),0)</f>
        <v>0</v>
      </c>
      <c r="AD65" s="82">
        <f>IF('Customer Sector'!$F$29+$G$15&gt;=AD$15,AC65/(1+'Customer Sector'!$F$30),0)</f>
        <v>0</v>
      </c>
      <c r="AE65" s="82">
        <f>IF('Customer Sector'!$F$29+$G$15&gt;=AE$15,AD65/(1+'Customer Sector'!$F$30),0)</f>
        <v>0</v>
      </c>
      <c r="AF65" s="83">
        <f>IF('Customer Sector'!$F$29+$G$15&gt;=AF$15,AE65/(1+'Customer Sector'!$F$30),0)</f>
        <v>0</v>
      </c>
      <c r="AH65" s="10"/>
      <c r="AI65" s="51"/>
      <c r="AJ65" s="51" t="s">
        <v>26</v>
      </c>
      <c r="AK65" s="51"/>
      <c r="AL65" s="52" t="s">
        <v>19</v>
      </c>
      <c r="AM65" s="405">
        <v>0</v>
      </c>
      <c r="AN65" s="82">
        <f>AN63</f>
        <v>240989000</v>
      </c>
      <c r="AO65" s="82">
        <f>IF('Customer Sector'!$L$29+$G$15&gt;=AO$15,AN65/(1+'Customer Sector'!$L$30),0)</f>
        <v>233969902.91262135</v>
      </c>
      <c r="AP65" s="82">
        <f>IF('Customer Sector'!$L$29+$G$15&gt;=AP$15,AO65/(1+'Customer Sector'!$L$30),0)</f>
        <v>227155245.54623431</v>
      </c>
      <c r="AQ65" s="82">
        <f>IF('Customer Sector'!$L$29+$G$15&gt;=AQ$15,AP65/(1+'Customer Sector'!$L$30),0)</f>
        <v>220539073.34585854</v>
      </c>
      <c r="AR65" s="82">
        <f>IF('Customer Sector'!$L$29+$G$15&gt;=AR$15,AQ65/(1+'Customer Sector'!$L$30),0)</f>
        <v>214115605.19015393</v>
      </c>
      <c r="AS65" s="82">
        <f>IF('Customer Sector'!$L$29+$G$15&gt;=AS$15,AR65/(1+'Customer Sector'!$L$30),0)</f>
        <v>207879228.33995527</v>
      </c>
      <c r="AT65" s="82">
        <f>IF('Customer Sector'!$L$29+$G$15&gt;=AT$15,AS65/(1+'Customer Sector'!$L$30),0)</f>
        <v>201824493.53393716</v>
      </c>
      <c r="AU65" s="82">
        <f>IF('Customer Sector'!$L$29+$G$15&gt;=AU$15,AT65/(1+'Customer Sector'!$L$30),0)</f>
        <v>195946110.22712344</v>
      </c>
      <c r="AV65" s="82">
        <f>IF('Customer Sector'!$L$29+$G$15&gt;=AV$15,AU65/(1+'Customer Sector'!$L$30),0)</f>
        <v>190238941.968081</v>
      </c>
      <c r="AW65" s="82">
        <f>IF('Customer Sector'!$L$29+$G$15&gt;=AW$15,AV65/(1+'Customer Sector'!$L$30),0)</f>
        <v>184698001.91075826</v>
      </c>
      <c r="AX65" s="82">
        <f>IF('Customer Sector'!$L$29+$G$15&gt;=AX$15,AW65/(1+'Customer Sector'!$L$30),0)</f>
        <v>179318448.45704684</v>
      </c>
      <c r="AY65" s="82">
        <f>IF('Customer Sector'!$L$29+$G$15&gt;=AY$15,AX65/(1+'Customer Sector'!$L$30),0)</f>
        <v>174095581.02625906</v>
      </c>
      <c r="AZ65" s="82">
        <f>IF('Customer Sector'!$L$29+$G$15&gt;=AZ$15,AY65/(1+'Customer Sector'!$L$30),0)</f>
        <v>169024835.94782433</v>
      </c>
      <c r="BA65" s="82">
        <f>IF('Customer Sector'!$L$29+$G$15&gt;=BA$15,AZ65/(1+'Customer Sector'!$L$30),0)</f>
        <v>164101782.47361585</v>
      </c>
      <c r="BB65" s="82">
        <f>IF('Customer Sector'!$L$29+$G$15&gt;=BB$15,BA65/(1+'Customer Sector'!$L$30),0)</f>
        <v>159322118.90642315</v>
      </c>
      <c r="BC65" s="82">
        <f>IF('Customer Sector'!$L$29+$G$15&gt;=BC$15,BB65/(1+'Customer Sector'!$L$30),0)</f>
        <v>0</v>
      </c>
      <c r="BD65" s="82">
        <f>IF('Customer Sector'!$L$29+$G$15&gt;=BD$15,BC65/(1+'Customer Sector'!$L$30),0)</f>
        <v>0</v>
      </c>
      <c r="BE65" s="82">
        <f>IF('Customer Sector'!$L$29+$G$15&gt;=BE$15,BD65/(1+'Customer Sector'!$L$30),0)</f>
        <v>0</v>
      </c>
      <c r="BF65" s="82">
        <f>IF('Customer Sector'!$L$29+$G$15&gt;=BF$15,BE65/(1+'Customer Sector'!$L$30),0)</f>
        <v>0</v>
      </c>
      <c r="BG65" s="82">
        <f>IF('Customer Sector'!$L$29+$G$15&gt;=BG$15,BF65/(1+'Customer Sector'!$L$30),0)</f>
        <v>0</v>
      </c>
      <c r="BH65" s="82">
        <f>IF('Customer Sector'!$L$29+$G$15&gt;=BH$15,BG65/(1+'Customer Sector'!$L$30),0)</f>
        <v>0</v>
      </c>
      <c r="BI65" s="82">
        <f>IF('Customer Sector'!$L$29+$G$15&gt;=BI$15,BH65/(1+'Customer Sector'!$L$30),0)</f>
        <v>0</v>
      </c>
      <c r="BJ65" s="82">
        <f>IF('Customer Sector'!$L$29+$G$15&gt;=BJ$15,BI65/(1+'Customer Sector'!$L$30),0)</f>
        <v>0</v>
      </c>
      <c r="BK65" s="82">
        <f>IF('Customer Sector'!$L$29+$G$15&gt;=BK$15,BJ65/(1+'Customer Sector'!$L$30),0)</f>
        <v>0</v>
      </c>
      <c r="BL65" s="83">
        <f>IF('Customer Sector'!$L$29+$G$15&gt;=BL$15,BK65/(1+'Customer Sector'!$L$30),0)</f>
        <v>0</v>
      </c>
    </row>
    <row r="66" spans="2:64" ht="15" hidden="1" customHeight="1" outlineLevel="1" x14ac:dyDescent="0.25">
      <c r="B66" s="10"/>
      <c r="C66" s="51"/>
      <c r="D66" s="51" t="s">
        <v>27</v>
      </c>
      <c r="E66" s="51"/>
      <c r="F66" s="52" t="s">
        <v>19</v>
      </c>
      <c r="G66" s="405">
        <v>0</v>
      </c>
      <c r="H66" s="405">
        <v>0</v>
      </c>
      <c r="I66" s="82">
        <f>I63</f>
        <v>58360559.999999993</v>
      </c>
      <c r="J66" s="82">
        <f>IF('Customer Sector'!$F$29+$H$15&gt;=J$15,I66/(1+'Customer Sector'!$F$30),0)</f>
        <v>56660737.864077665</v>
      </c>
      <c r="K66" s="82">
        <f>IF('Customer Sector'!$F$29+$H$15&gt;=K$15,J66/(1+'Customer Sector'!$F$30),0)</f>
        <v>55010425.110755011</v>
      </c>
      <c r="L66" s="82">
        <f>IF('Customer Sector'!$F$29+$H$15&gt;=L$15,K66/(1+'Customer Sector'!$F$30),0)</f>
        <v>53408179.719179623</v>
      </c>
      <c r="M66" s="82">
        <f>IF('Customer Sector'!$F$29+$H$15&gt;=M$15,L66/(1+'Customer Sector'!$F$30),0)</f>
        <v>51852601.669106431</v>
      </c>
      <c r="N66" s="82">
        <f>IF('Customer Sector'!$F$29+$H$15&gt;=N$15,M66/(1+'Customer Sector'!$F$30),0)</f>
        <v>50342331.717579059</v>
      </c>
      <c r="O66" s="82">
        <f>IF('Customer Sector'!$F$29+$H$15&gt;=O$15,N66/(1+'Customer Sector'!$F$30),0)</f>
        <v>48876050.211241804</v>
      </c>
      <c r="P66" s="82">
        <f>IF('Customer Sector'!$F$29+$H$15&gt;=P$15,O66/(1+'Customer Sector'!$F$30),0)</f>
        <v>47452475.933244467</v>
      </c>
      <c r="Q66" s="82">
        <f>IF('Customer Sector'!$F$29+$H$15&gt;=Q$15,P66/(1+'Customer Sector'!$F$30),0)</f>
        <v>46070364.983732492</v>
      </c>
      <c r="R66" s="82">
        <f>IF('Customer Sector'!$F$29+$H$15&gt;=R$15,Q66/(1+'Customer Sector'!$F$30),0)</f>
        <v>44728509.692944169</v>
      </c>
      <c r="S66" s="82">
        <f>IF('Customer Sector'!$F$29+$H$15&gt;=S$15,R66/(1+'Customer Sector'!$F$30),0)</f>
        <v>0</v>
      </c>
      <c r="T66" s="82">
        <f>IF('Customer Sector'!$F$29+$H$15&gt;=T$15,S66/(1+'Customer Sector'!$F$30),0)</f>
        <v>0</v>
      </c>
      <c r="U66" s="82">
        <f>IF('Customer Sector'!$F$29+$H$15&gt;=U$15,T66/(1+'Customer Sector'!$F$30),0)</f>
        <v>0</v>
      </c>
      <c r="V66" s="82">
        <f>IF('Customer Sector'!$F$29+$H$15&gt;=V$15,U66/(1+'Customer Sector'!$F$30),0)</f>
        <v>0</v>
      </c>
      <c r="W66" s="82">
        <f>IF('Customer Sector'!$F$29+$H$15&gt;=W$15,V66/(1+'Customer Sector'!$F$30),0)</f>
        <v>0</v>
      </c>
      <c r="X66" s="82">
        <f>IF('Customer Sector'!$F$29+$H$15&gt;=X$15,W66/(1+'Customer Sector'!$F$30),0)</f>
        <v>0</v>
      </c>
      <c r="Y66" s="82">
        <f>IF('Customer Sector'!$F$29+$H$15&gt;=Y$15,X66/(1+'Customer Sector'!$F$30),0)</f>
        <v>0</v>
      </c>
      <c r="Z66" s="82">
        <f>IF('Customer Sector'!$F$29+$H$15&gt;=Z$15,Y66/(1+'Customer Sector'!$F$30),0)</f>
        <v>0</v>
      </c>
      <c r="AA66" s="82">
        <f>IF('Customer Sector'!$F$29+$H$15&gt;=AA$15,Z66/(1+'Customer Sector'!$F$30),0)</f>
        <v>0</v>
      </c>
      <c r="AB66" s="82">
        <f>IF('Customer Sector'!$F$29+$H$15&gt;=AB$15,AA66/(1+'Customer Sector'!$F$30),0)</f>
        <v>0</v>
      </c>
      <c r="AC66" s="82">
        <f>IF('Customer Sector'!$F$29+$H$15&gt;=AC$15,AB66/(1+'Customer Sector'!$F$30),0)</f>
        <v>0</v>
      </c>
      <c r="AD66" s="82">
        <f>IF('Customer Sector'!$F$29+$H$15&gt;=AD$15,AC66/(1+'Customer Sector'!$F$30),0)</f>
        <v>0</v>
      </c>
      <c r="AE66" s="82">
        <f>IF('Customer Sector'!$F$29+$H$15&gt;=AE$15,AD66/(1+'Customer Sector'!$F$30),0)</f>
        <v>0</v>
      </c>
      <c r="AF66" s="83">
        <f>IF('Customer Sector'!$F$29+$H$15&gt;=AF$15,AE66/(1+'Customer Sector'!$F$30),0)</f>
        <v>0</v>
      </c>
      <c r="AH66" s="10"/>
      <c r="AI66" s="51"/>
      <c r="AJ66" s="51" t="s">
        <v>27</v>
      </c>
      <c r="AK66" s="51"/>
      <c r="AL66" s="52" t="s">
        <v>19</v>
      </c>
      <c r="AM66" s="405">
        <v>0</v>
      </c>
      <c r="AN66" s="405">
        <v>0</v>
      </c>
      <c r="AO66" s="82">
        <f>AO63</f>
        <v>257135263</v>
      </c>
      <c r="AP66" s="82">
        <f>IF('Customer Sector'!$L$29+$H$15&gt;=AP$15,AO66/(1+'Customer Sector'!$L$30),0)</f>
        <v>249645886.407767</v>
      </c>
      <c r="AQ66" s="82">
        <f>IF('Customer Sector'!$L$29+$H$15&gt;=AQ$15,AP66/(1+'Customer Sector'!$L$30),0)</f>
        <v>242374646.99783203</v>
      </c>
      <c r="AR66" s="82">
        <f>IF('Customer Sector'!$L$29+$H$15&gt;=AR$15,AQ66/(1+'Customer Sector'!$L$30),0)</f>
        <v>235315191.2600311</v>
      </c>
      <c r="AS66" s="82">
        <f>IF('Customer Sector'!$L$29+$H$15&gt;=AS$15,AR66/(1+'Customer Sector'!$L$30),0)</f>
        <v>228461350.73789427</v>
      </c>
      <c r="AT66" s="82">
        <f>IF('Customer Sector'!$L$29+$H$15&gt;=AT$15,AS66/(1+'Customer Sector'!$L$30),0)</f>
        <v>221807136.63873228</v>
      </c>
      <c r="AU66" s="82">
        <f>IF('Customer Sector'!$L$29+$H$15&gt;=AU$15,AT66/(1+'Customer Sector'!$L$30),0)</f>
        <v>215346734.60071096</v>
      </c>
      <c r="AV66" s="82">
        <f>IF('Customer Sector'!$L$29+$H$15&gt;=AV$15,AU66/(1+'Customer Sector'!$L$30),0)</f>
        <v>209074499.61234072</v>
      </c>
      <c r="AW66" s="82">
        <f>IF('Customer Sector'!$L$29+$H$15&gt;=AW$15,AV66/(1+'Customer Sector'!$L$30),0)</f>
        <v>202984951.07994244</v>
      </c>
      <c r="AX66" s="82">
        <f>IF('Customer Sector'!$L$29+$H$15&gt;=AX$15,AW66/(1+'Customer Sector'!$L$30),0)</f>
        <v>197072768.03877905</v>
      </c>
      <c r="AY66" s="82">
        <f>IF('Customer Sector'!$L$29+$H$15&gt;=AY$15,AX66/(1+'Customer Sector'!$L$30),0)</f>
        <v>191332784.50366896</v>
      </c>
      <c r="AZ66" s="82">
        <f>IF('Customer Sector'!$L$29+$H$15&gt;=AZ$15,AY66/(1+'Customer Sector'!$L$30),0)</f>
        <v>185759984.9550184</v>
      </c>
      <c r="BA66" s="82">
        <f>IF('Customer Sector'!$L$29+$H$15&gt;=BA$15,AZ66/(1+'Customer Sector'!$L$30),0)</f>
        <v>180349499.95632854</v>
      </c>
      <c r="BB66" s="82">
        <f>IF('Customer Sector'!$L$29+$H$15&gt;=BB$15,BA66/(1+'Customer Sector'!$L$30),0)</f>
        <v>175096601.89934808</v>
      </c>
      <c r="BC66" s="82">
        <f>IF('Customer Sector'!$L$29+$H$15&gt;=BC$15,BB66/(1+'Customer Sector'!$L$30),0)</f>
        <v>169996700.87315348</v>
      </c>
      <c r="BD66" s="82">
        <f>IF('Customer Sector'!$L$29+$H$15&gt;=BD$15,BC66/(1+'Customer Sector'!$L$30),0)</f>
        <v>0</v>
      </c>
      <c r="BE66" s="82">
        <f>IF('Customer Sector'!$L$29+$H$15&gt;=BE$15,BD66/(1+'Customer Sector'!$L$30),0)</f>
        <v>0</v>
      </c>
      <c r="BF66" s="82">
        <f>IF('Customer Sector'!$L$29+$H$15&gt;=BF$15,BE66/(1+'Customer Sector'!$L$30),0)</f>
        <v>0</v>
      </c>
      <c r="BG66" s="82">
        <f>IF('Customer Sector'!$L$29+$H$15&gt;=BG$15,BF66/(1+'Customer Sector'!$L$30),0)</f>
        <v>0</v>
      </c>
      <c r="BH66" s="82">
        <f>IF('Customer Sector'!$L$29+$H$15&gt;=BH$15,BG66/(1+'Customer Sector'!$L$30),0)</f>
        <v>0</v>
      </c>
      <c r="BI66" s="82">
        <f>IF('Customer Sector'!$L$29+$H$15&gt;=BI$15,BH66/(1+'Customer Sector'!$L$30),0)</f>
        <v>0</v>
      </c>
      <c r="BJ66" s="82">
        <f>IF('Customer Sector'!$L$29+$H$15&gt;=BJ$15,BI66/(1+'Customer Sector'!$L$30),0)</f>
        <v>0</v>
      </c>
      <c r="BK66" s="82">
        <f>IF('Customer Sector'!$L$29+$H$15&gt;=BK$15,BJ66/(1+'Customer Sector'!$L$30),0)</f>
        <v>0</v>
      </c>
      <c r="BL66" s="83">
        <f>IF('Customer Sector'!$L$29+$H$15&gt;=BL$15,BK66/(1+'Customer Sector'!$L$30),0)</f>
        <v>0</v>
      </c>
    </row>
    <row r="67" spans="2:64" ht="15" hidden="1" customHeight="1" outlineLevel="1" x14ac:dyDescent="0.25">
      <c r="B67" s="10"/>
      <c r="C67" s="51"/>
      <c r="D67" s="51" t="s">
        <v>28</v>
      </c>
      <c r="E67" s="51"/>
      <c r="F67" s="52" t="s">
        <v>19</v>
      </c>
      <c r="G67" s="405">
        <v>0</v>
      </c>
      <c r="H67" s="405">
        <v>0</v>
      </c>
      <c r="I67" s="405">
        <v>0</v>
      </c>
      <c r="J67" s="82">
        <f>J63</f>
        <v>58885805.039999984</v>
      </c>
      <c r="K67" s="82">
        <f>IF('Customer Sector'!$F$29+$I$15&gt;=K$15,J67/(1+'Customer Sector'!$F$30),0)</f>
        <v>57170684.504854351</v>
      </c>
      <c r="L67" s="82">
        <f>IF('Customer Sector'!$F$29+$I$15&gt;=L$15,K67/(1+'Customer Sector'!$F$30),0)</f>
        <v>55505518.936751798</v>
      </c>
      <c r="M67" s="82">
        <f>IF('Customer Sector'!$F$29+$I$15&gt;=M$15,L67/(1+'Customer Sector'!$F$30),0)</f>
        <v>53888853.336652227</v>
      </c>
      <c r="N67" s="82">
        <f>IF('Customer Sector'!$F$29+$I$15&gt;=N$15,M67/(1+'Customer Sector'!$F$30),0)</f>
        <v>52319275.084128372</v>
      </c>
      <c r="O67" s="82">
        <f>IF('Customer Sector'!$F$29+$I$15&gt;=O$15,N67/(1+'Customer Sector'!$F$30),0)</f>
        <v>50795412.703037255</v>
      </c>
      <c r="P67" s="82">
        <f>IF('Customer Sector'!$F$29+$I$15&gt;=P$15,O67/(1+'Customer Sector'!$F$30),0)</f>
        <v>49315934.663142964</v>
      </c>
      <c r="Q67" s="82">
        <f>IF('Customer Sector'!$F$29+$I$15&gt;=Q$15,P67/(1+'Customer Sector'!$F$30),0)</f>
        <v>47879548.216643654</v>
      </c>
      <c r="R67" s="82">
        <f>IF('Customer Sector'!$F$29+$I$15&gt;=R$15,Q67/(1+'Customer Sector'!$F$30),0)</f>
        <v>46484998.268586069</v>
      </c>
      <c r="S67" s="82">
        <f>IF('Customer Sector'!$F$29+$I$15&gt;=S$15,R67/(1+'Customer Sector'!$F$30),0)</f>
        <v>45131066.280180648</v>
      </c>
      <c r="T67" s="82">
        <f>IF('Customer Sector'!$F$29+$I$15&gt;=T$15,S67/(1+'Customer Sector'!$F$30),0)</f>
        <v>0</v>
      </c>
      <c r="U67" s="82">
        <f>IF('Customer Sector'!$F$29+$I$15&gt;=U$15,T67/(1+'Customer Sector'!$F$30),0)</f>
        <v>0</v>
      </c>
      <c r="V67" s="82">
        <f>IF('Customer Sector'!$F$29+$I$15&gt;=V$15,U67/(1+'Customer Sector'!$F$30),0)</f>
        <v>0</v>
      </c>
      <c r="W67" s="82">
        <f>IF('Customer Sector'!$F$29+$I$15&gt;=W$15,V67/(1+'Customer Sector'!$F$30),0)</f>
        <v>0</v>
      </c>
      <c r="X67" s="82">
        <f>IF('Customer Sector'!$F$29+$I$15&gt;=X$15,W67/(1+'Customer Sector'!$F$30),0)</f>
        <v>0</v>
      </c>
      <c r="Y67" s="82">
        <f>IF('Customer Sector'!$F$29+$I$15&gt;=Y$15,X67/(1+'Customer Sector'!$F$30),0)</f>
        <v>0</v>
      </c>
      <c r="Z67" s="82">
        <f>IF('Customer Sector'!$F$29+$I$15&gt;=Z$15,Y67/(1+'Customer Sector'!$F$30),0)</f>
        <v>0</v>
      </c>
      <c r="AA67" s="82">
        <f>IF('Customer Sector'!$F$29+$I$15&gt;=AA$15,Z67/(1+'Customer Sector'!$F$30),0)</f>
        <v>0</v>
      </c>
      <c r="AB67" s="82">
        <f>IF('Customer Sector'!$F$29+$I$15&gt;=AB$15,AA67/(1+'Customer Sector'!$F$30),0)</f>
        <v>0</v>
      </c>
      <c r="AC67" s="82">
        <f>IF('Customer Sector'!$F$29+$I$15&gt;=AC$15,AB67/(1+'Customer Sector'!$F$30),0)</f>
        <v>0</v>
      </c>
      <c r="AD67" s="82">
        <f>IF('Customer Sector'!$F$29+$I$15&gt;=AD$15,AC67/(1+'Customer Sector'!$F$30),0)</f>
        <v>0</v>
      </c>
      <c r="AE67" s="82">
        <f>IF('Customer Sector'!$F$29+$I$15&gt;=AE$15,AD67/(1+'Customer Sector'!$F$30),0)</f>
        <v>0</v>
      </c>
      <c r="AF67" s="83">
        <f>IF('Customer Sector'!$F$29+$I$15&gt;=AF$15,AE67/(1+'Customer Sector'!$F$30),0)</f>
        <v>0</v>
      </c>
      <c r="AH67" s="10"/>
      <c r="AI67" s="51"/>
      <c r="AJ67" s="51" t="s">
        <v>28</v>
      </c>
      <c r="AK67" s="51"/>
      <c r="AL67" s="52" t="s">
        <v>19</v>
      </c>
      <c r="AM67" s="405">
        <v>0</v>
      </c>
      <c r="AN67" s="405">
        <v>0</v>
      </c>
      <c r="AO67" s="405">
        <v>0</v>
      </c>
      <c r="AP67" s="82">
        <f>AP63</f>
        <v>274363325.62099999</v>
      </c>
      <c r="AQ67" s="82">
        <f>IF('Customer Sector'!$L$29+$I$15&gt;=AQ$15,AP67/(1+'Customer Sector'!$L$30),0)</f>
        <v>266372160.79708737</v>
      </c>
      <c r="AR67" s="82">
        <f>IF('Customer Sector'!$L$29+$I$15&gt;=AR$15,AQ67/(1+'Customer Sector'!$L$30),0)</f>
        <v>258613748.34668675</v>
      </c>
      <c r="AS67" s="82">
        <f>IF('Customer Sector'!$L$29+$I$15&gt;=AS$15,AR67/(1+'Customer Sector'!$L$30),0)</f>
        <v>251081309.07445315</v>
      </c>
      <c r="AT67" s="82">
        <f>IF('Customer Sector'!$L$29+$I$15&gt;=AT$15,AS67/(1+'Customer Sector'!$L$30),0)</f>
        <v>243768261.23733315</v>
      </c>
      <c r="AU67" s="82">
        <f>IF('Customer Sector'!$L$29+$I$15&gt;=AU$15,AT67/(1+'Customer Sector'!$L$30),0)</f>
        <v>236668214.79352733</v>
      </c>
      <c r="AV67" s="82">
        <f>IF('Customer Sector'!$L$29+$I$15&gt;=AV$15,AU67/(1+'Customer Sector'!$L$30),0)</f>
        <v>229774965.81895858</v>
      </c>
      <c r="AW67" s="82">
        <f>IF('Customer Sector'!$L$29+$I$15&gt;=AW$15,AV67/(1+'Customer Sector'!$L$30),0)</f>
        <v>223082491.08636755</v>
      </c>
      <c r="AX67" s="82">
        <f>IF('Customer Sector'!$L$29+$I$15&gt;=AX$15,AW67/(1+'Customer Sector'!$L$30),0)</f>
        <v>216584942.80229858</v>
      </c>
      <c r="AY67" s="82">
        <f>IF('Customer Sector'!$L$29+$I$15&gt;=AY$15,AX67/(1+'Customer Sector'!$L$30),0)</f>
        <v>210276643.49737725</v>
      </c>
      <c r="AZ67" s="82">
        <f>IF('Customer Sector'!$L$29+$I$15&gt;=AZ$15,AY67/(1+'Customer Sector'!$L$30),0)</f>
        <v>204152081.06541479</v>
      </c>
      <c r="BA67" s="82">
        <f>IF('Customer Sector'!$L$29+$I$15&gt;=BA$15,AZ67/(1+'Customer Sector'!$L$30),0)</f>
        <v>198205903.94700465</v>
      </c>
      <c r="BB67" s="82">
        <f>IF('Customer Sector'!$L$29+$I$15&gt;=BB$15,BA67/(1+'Customer Sector'!$L$30),0)</f>
        <v>192432916.45340258</v>
      </c>
      <c r="BC67" s="82">
        <f>IF('Customer Sector'!$L$29+$I$15&gt;=BC$15,BB67/(1+'Customer Sector'!$L$30),0)</f>
        <v>186828074.22660443</v>
      </c>
      <c r="BD67" s="82">
        <f>IF('Customer Sector'!$L$29+$I$15&gt;=BD$15,BC67/(1+'Customer Sector'!$L$30),0)</f>
        <v>181386479.83165479</v>
      </c>
      <c r="BE67" s="82">
        <f>IF('Customer Sector'!$L$29+$I$15&gt;=BE$15,BD67/(1+'Customer Sector'!$L$30),0)</f>
        <v>0</v>
      </c>
      <c r="BF67" s="82">
        <f>IF('Customer Sector'!$L$29+$I$15&gt;=BF$15,BE67/(1+'Customer Sector'!$L$30),0)</f>
        <v>0</v>
      </c>
      <c r="BG67" s="82">
        <f>IF('Customer Sector'!$L$29+$I$15&gt;=BG$15,BF67/(1+'Customer Sector'!$L$30),0)</f>
        <v>0</v>
      </c>
      <c r="BH67" s="82">
        <f>IF('Customer Sector'!$L$29+$I$15&gt;=BH$15,BG67/(1+'Customer Sector'!$L$30),0)</f>
        <v>0</v>
      </c>
      <c r="BI67" s="82">
        <f>IF('Customer Sector'!$L$29+$I$15&gt;=BI$15,BH67/(1+'Customer Sector'!$L$30),0)</f>
        <v>0</v>
      </c>
      <c r="BJ67" s="82">
        <f>IF('Customer Sector'!$L$29+$I$15&gt;=BJ$15,BI67/(1+'Customer Sector'!$L$30),0)</f>
        <v>0</v>
      </c>
      <c r="BK67" s="82">
        <f>IF('Customer Sector'!$L$29+$I$15&gt;=BK$15,BJ67/(1+'Customer Sector'!$L$30),0)</f>
        <v>0</v>
      </c>
      <c r="BL67" s="83">
        <f>IF('Customer Sector'!$L$29+$I$15&gt;=BL$15,BK67/(1+'Customer Sector'!$L$30),0)</f>
        <v>0</v>
      </c>
    </row>
    <row r="68" spans="2:64" ht="15" hidden="1" customHeight="1" outlineLevel="1" x14ac:dyDescent="0.25">
      <c r="B68" s="10"/>
      <c r="C68" s="51"/>
      <c r="D68" s="51" t="s">
        <v>32</v>
      </c>
      <c r="E68" s="51"/>
      <c r="F68" s="52" t="s">
        <v>19</v>
      </c>
      <c r="G68" s="405">
        <v>0</v>
      </c>
      <c r="H68" s="405">
        <v>0</v>
      </c>
      <c r="I68" s="405">
        <v>0</v>
      </c>
      <c r="J68" s="405">
        <v>0</v>
      </c>
      <c r="K68" s="82">
        <f>K63</f>
        <v>59415777.285359979</v>
      </c>
      <c r="L68" s="82">
        <f>IF('Customer Sector'!$F$29+$J$15&gt;=L$15,K68/(1+'Customer Sector'!$F$30),0)</f>
        <v>57685220.665398039</v>
      </c>
      <c r="M68" s="82">
        <f>IF('Customer Sector'!$F$29+$J$15&gt;=M$15,L68/(1+'Customer Sector'!$F$30),0)</f>
        <v>56005068.607182562</v>
      </c>
      <c r="N68" s="82">
        <f>IF('Customer Sector'!$F$29+$J$15&gt;=N$15,M68/(1+'Customer Sector'!$F$30),0)</f>
        <v>54373853.016682096</v>
      </c>
      <c r="O68" s="82">
        <f>IF('Customer Sector'!$F$29+$J$15&gt;=O$15,N68/(1+'Customer Sector'!$F$30),0)</f>
        <v>52790148.559885532</v>
      </c>
      <c r="P68" s="82">
        <f>IF('Customer Sector'!$F$29+$J$15&gt;=P$15,O68/(1+'Customer Sector'!$F$30),0)</f>
        <v>51252571.41736459</v>
      </c>
      <c r="Q68" s="82">
        <f>IF('Customer Sector'!$F$29+$J$15&gt;=Q$15,P68/(1+'Customer Sector'!$F$30),0)</f>
        <v>49759778.075111248</v>
      </c>
      <c r="R68" s="82">
        <f>IF('Customer Sector'!$F$29+$J$15&gt;=R$15,Q68/(1+'Customer Sector'!$F$30),0)</f>
        <v>48310464.150593445</v>
      </c>
      <c r="S68" s="82">
        <f>IF('Customer Sector'!$F$29+$J$15&gt;=S$15,R68/(1+'Customer Sector'!$F$30),0)</f>
        <v>46903363.253003344</v>
      </c>
      <c r="T68" s="82">
        <f>IF('Customer Sector'!$F$29+$J$15&gt;=T$15,S68/(1+'Customer Sector'!$F$30),0)</f>
        <v>45537245.876702271</v>
      </c>
      <c r="U68" s="82">
        <f>IF('Customer Sector'!$F$29+$J$15&gt;=U$15,T68/(1+'Customer Sector'!$F$30),0)</f>
        <v>0</v>
      </c>
      <c r="V68" s="82">
        <f>IF('Customer Sector'!$F$29+$J$15&gt;=V$15,U68/(1+'Customer Sector'!$F$30),0)</f>
        <v>0</v>
      </c>
      <c r="W68" s="82">
        <f>IF('Customer Sector'!$F$29+$J$15&gt;=W$15,V68/(1+'Customer Sector'!$F$30),0)</f>
        <v>0</v>
      </c>
      <c r="X68" s="82">
        <f>IF('Customer Sector'!$F$29+$J$15&gt;=X$15,W68/(1+'Customer Sector'!$F$30),0)</f>
        <v>0</v>
      </c>
      <c r="Y68" s="82">
        <f>IF('Customer Sector'!$F$29+$J$15&gt;=Y$15,X68/(1+'Customer Sector'!$F$30),0)</f>
        <v>0</v>
      </c>
      <c r="Z68" s="82">
        <f>IF('Customer Sector'!$F$29+$J$15&gt;=Z$15,Y68/(1+'Customer Sector'!$F$30),0)</f>
        <v>0</v>
      </c>
      <c r="AA68" s="82">
        <f>IF('Customer Sector'!$F$29+$J$15&gt;=AA$15,Z68/(1+'Customer Sector'!$F$30),0)</f>
        <v>0</v>
      </c>
      <c r="AB68" s="82">
        <f>IF('Customer Sector'!$F$29+$J$15&gt;=AB$15,AA68/(1+'Customer Sector'!$F$30),0)</f>
        <v>0</v>
      </c>
      <c r="AC68" s="82">
        <f>IF('Customer Sector'!$F$29+$J$15&gt;=AC$15,AB68/(1+'Customer Sector'!$F$30),0)</f>
        <v>0</v>
      </c>
      <c r="AD68" s="82">
        <f>IF('Customer Sector'!$F$29+$J$15&gt;=AD$15,AC68/(1+'Customer Sector'!$F$30),0)</f>
        <v>0</v>
      </c>
      <c r="AE68" s="82">
        <f>IF('Customer Sector'!$F$29+$J$15&gt;=AE$15,AD68/(1+'Customer Sector'!$F$30),0)</f>
        <v>0</v>
      </c>
      <c r="AF68" s="83">
        <f>IF('Customer Sector'!$F$29+$J$15&gt;=AF$15,AE68/(1+'Customer Sector'!$F$30),0)</f>
        <v>0</v>
      </c>
      <c r="AH68" s="10"/>
      <c r="AI68" s="51"/>
      <c r="AJ68" s="51" t="s">
        <v>32</v>
      </c>
      <c r="AK68" s="51"/>
      <c r="AL68" s="52" t="s">
        <v>19</v>
      </c>
      <c r="AM68" s="405">
        <v>0</v>
      </c>
      <c r="AN68" s="405">
        <v>0</v>
      </c>
      <c r="AO68" s="405">
        <v>0</v>
      </c>
      <c r="AP68" s="405">
        <v>0</v>
      </c>
      <c r="AQ68" s="82">
        <f>AQ63</f>
        <v>292745668.43760699</v>
      </c>
      <c r="AR68" s="82">
        <f>IF('Customer Sector'!$L$29+$J$15&gt;=AR$15,AQ68/(1+'Customer Sector'!$L$30),0)</f>
        <v>284219095.57049221</v>
      </c>
      <c r="AS68" s="82">
        <f>IF('Customer Sector'!$L$29+$J$15&gt;=AS$15,AR68/(1+'Customer Sector'!$L$30),0)</f>
        <v>275940869.48591477</v>
      </c>
      <c r="AT68" s="82">
        <f>IF('Customer Sector'!$L$29+$J$15&gt;=AT$15,AS68/(1+'Customer Sector'!$L$30),0)</f>
        <v>267903756.78244153</v>
      </c>
      <c r="AU68" s="82">
        <f>IF('Customer Sector'!$L$29+$J$15&gt;=AU$15,AT68/(1+'Customer Sector'!$L$30),0)</f>
        <v>260100734.74023449</v>
      </c>
      <c r="AV68" s="82">
        <f>IF('Customer Sector'!$L$29+$J$15&gt;=AV$15,AU68/(1+'Customer Sector'!$L$30),0)</f>
        <v>252524985.18469366</v>
      </c>
      <c r="AW68" s="82">
        <f>IF('Customer Sector'!$L$29+$J$15&gt;=AW$15,AV68/(1+'Customer Sector'!$L$30),0)</f>
        <v>245169888.5288288</v>
      </c>
      <c r="AX68" s="82">
        <f>IF('Customer Sector'!$L$29+$J$15&gt;=AX$15,AW68/(1+'Customer Sector'!$L$30),0)</f>
        <v>238029017.98915416</v>
      </c>
      <c r="AY68" s="82">
        <f>IF('Customer Sector'!$L$29+$J$15&gt;=AY$15,AX68/(1+'Customer Sector'!$L$30),0)</f>
        <v>231096133.97005257</v>
      </c>
      <c r="AZ68" s="82">
        <f>IF('Customer Sector'!$L$29+$J$15&gt;=AZ$15,AY68/(1+'Customer Sector'!$L$30),0)</f>
        <v>224365178.61170152</v>
      </c>
      <c r="BA68" s="82">
        <f>IF('Customer Sector'!$L$29+$J$15&gt;=BA$15,AZ68/(1+'Customer Sector'!$L$30),0)</f>
        <v>217830270.49679759</v>
      </c>
      <c r="BB68" s="82">
        <f>IF('Customer Sector'!$L$29+$J$15&gt;=BB$15,BA68/(1+'Customer Sector'!$L$30),0)</f>
        <v>211485699.51145396</v>
      </c>
      <c r="BC68" s="82">
        <f>IF('Customer Sector'!$L$29+$J$15&gt;=BC$15,BB68/(1+'Customer Sector'!$L$30),0)</f>
        <v>205325921.85578054</v>
      </c>
      <c r="BD68" s="82">
        <f>IF('Customer Sector'!$L$29+$J$15&gt;=BD$15,BC68/(1+'Customer Sector'!$L$30),0)</f>
        <v>199345555.19978693</v>
      </c>
      <c r="BE68" s="82">
        <f>IF('Customer Sector'!$L$29+$J$15&gt;=BE$15,BD68/(1+'Customer Sector'!$L$30),0)</f>
        <v>193539373.98037565</v>
      </c>
      <c r="BF68" s="82">
        <f>IF('Customer Sector'!$L$29+$J$15&gt;=BF$15,BE68/(1+'Customer Sector'!$L$30),0)</f>
        <v>0</v>
      </c>
      <c r="BG68" s="82">
        <f>IF('Customer Sector'!$L$29+$J$15&gt;=BG$15,BF68/(1+'Customer Sector'!$L$30),0)</f>
        <v>0</v>
      </c>
      <c r="BH68" s="82">
        <f>IF('Customer Sector'!$L$29+$J$15&gt;=BH$15,BG68/(1+'Customer Sector'!$L$30),0)</f>
        <v>0</v>
      </c>
      <c r="BI68" s="82">
        <f>IF('Customer Sector'!$L$29+$J$15&gt;=BI$15,BH68/(1+'Customer Sector'!$L$30),0)</f>
        <v>0</v>
      </c>
      <c r="BJ68" s="82">
        <f>IF('Customer Sector'!$L$29+$J$15&gt;=BJ$15,BI68/(1+'Customer Sector'!$L$30),0)</f>
        <v>0</v>
      </c>
      <c r="BK68" s="82">
        <f>IF('Customer Sector'!$L$29+$J$15&gt;=BK$15,BJ68/(1+'Customer Sector'!$L$30),0)</f>
        <v>0</v>
      </c>
      <c r="BL68" s="83">
        <f>IF('Customer Sector'!$L$29+$J$15&gt;=BL$15,BK68/(1+'Customer Sector'!$L$30),0)</f>
        <v>0</v>
      </c>
    </row>
    <row r="69" spans="2:64" ht="15" hidden="1" customHeight="1" outlineLevel="1" x14ac:dyDescent="0.25">
      <c r="B69" s="10"/>
      <c r="C69" s="51"/>
      <c r="D69" s="51" t="s">
        <v>33</v>
      </c>
      <c r="E69" s="51"/>
      <c r="F69" s="52" t="s">
        <v>19</v>
      </c>
      <c r="G69" s="405">
        <v>0</v>
      </c>
      <c r="H69" s="405">
        <v>0</v>
      </c>
      <c r="I69" s="405">
        <v>0</v>
      </c>
      <c r="J69" s="405">
        <v>0</v>
      </c>
      <c r="K69" s="405">
        <v>0</v>
      </c>
      <c r="L69" s="82">
        <f>L63</f>
        <v>59950519.280928209</v>
      </c>
      <c r="M69" s="82">
        <f>IF('Customer Sector'!$F$29+$K$15&gt;=M$15,L69/(1+'Customer Sector'!$F$30),0)</f>
        <v>58204387.651386611</v>
      </c>
      <c r="N69" s="82">
        <f>IF('Customer Sector'!$F$29+$K$15&gt;=N$15,M69/(1+'Customer Sector'!$F$30),0)</f>
        <v>56509114.224647194</v>
      </c>
      <c r="O69" s="82">
        <f>IF('Customer Sector'!$F$29+$K$15&gt;=O$15,N69/(1+'Customer Sector'!$F$30),0)</f>
        <v>54863217.693832226</v>
      </c>
      <c r="P69" s="82">
        <f>IF('Customer Sector'!$F$29+$K$15&gt;=P$15,O69/(1+'Customer Sector'!$F$30),0)</f>
        <v>53265259.896924488</v>
      </c>
      <c r="Q69" s="82">
        <f>IF('Customer Sector'!$F$29+$K$15&gt;=Q$15,P69/(1+'Customer Sector'!$F$30),0)</f>
        <v>51713844.560120858</v>
      </c>
      <c r="R69" s="82">
        <f>IF('Customer Sector'!$F$29+$K$15&gt;=R$15,Q69/(1+'Customer Sector'!$F$30),0)</f>
        <v>50207616.077787243</v>
      </c>
      <c r="S69" s="82">
        <f>IF('Customer Sector'!$F$29+$K$15&gt;=S$15,R69/(1+'Customer Sector'!$F$30),0)</f>
        <v>48745258.327948779</v>
      </c>
      <c r="T69" s="82">
        <f>IF('Customer Sector'!$F$29+$K$15&gt;=T$15,S69/(1+'Customer Sector'!$F$30),0)</f>
        <v>47325493.522280365</v>
      </c>
      <c r="U69" s="82">
        <f>IF('Customer Sector'!$F$29+$K$15&gt;=U$15,T69/(1+'Customer Sector'!$F$30),0)</f>
        <v>45947081.089592583</v>
      </c>
      <c r="V69" s="82">
        <f>IF('Customer Sector'!$F$29+$K$15&gt;=V$15,U69/(1+'Customer Sector'!$F$30),0)</f>
        <v>0</v>
      </c>
      <c r="W69" s="82">
        <f>IF('Customer Sector'!$F$29+$K$15&gt;=W$15,V69/(1+'Customer Sector'!$F$30),0)</f>
        <v>0</v>
      </c>
      <c r="X69" s="82">
        <f>IF('Customer Sector'!$F$29+$K$15&gt;=X$15,W69/(1+'Customer Sector'!$F$30),0)</f>
        <v>0</v>
      </c>
      <c r="Y69" s="82">
        <f>IF('Customer Sector'!$F$29+$K$15&gt;=Y$15,X69/(1+'Customer Sector'!$F$30),0)</f>
        <v>0</v>
      </c>
      <c r="Z69" s="82">
        <f>IF('Customer Sector'!$F$29+$K$15&gt;=Z$15,Y69/(1+'Customer Sector'!$F$30),0)</f>
        <v>0</v>
      </c>
      <c r="AA69" s="82">
        <f>IF('Customer Sector'!$F$29+$K$15&gt;=AA$15,Z69/(1+'Customer Sector'!$F$30),0)</f>
        <v>0</v>
      </c>
      <c r="AB69" s="82">
        <f>IF('Customer Sector'!$F$29+$K$15&gt;=AB$15,AA69/(1+'Customer Sector'!$F$30),0)</f>
        <v>0</v>
      </c>
      <c r="AC69" s="82">
        <f>IF('Customer Sector'!$F$29+$K$15&gt;=AC$15,AB69/(1+'Customer Sector'!$F$30),0)</f>
        <v>0</v>
      </c>
      <c r="AD69" s="82">
        <f>IF('Customer Sector'!$F$29+$K$15&gt;=AD$15,AC69/(1+'Customer Sector'!$F$30),0)</f>
        <v>0</v>
      </c>
      <c r="AE69" s="82">
        <f>IF('Customer Sector'!$F$29+$K$15&gt;=AE$15,AD69/(1+'Customer Sector'!$F$30),0)</f>
        <v>0</v>
      </c>
      <c r="AF69" s="83">
        <f>IF('Customer Sector'!$F$29+$K$15&gt;=AF$15,AE69/(1+'Customer Sector'!$F$30),0)</f>
        <v>0</v>
      </c>
      <c r="AH69" s="10"/>
      <c r="AI69" s="51"/>
      <c r="AJ69" s="51" t="s">
        <v>33</v>
      </c>
      <c r="AK69" s="51"/>
      <c r="AL69" s="52" t="s">
        <v>19</v>
      </c>
      <c r="AM69" s="405">
        <v>0</v>
      </c>
      <c r="AN69" s="405">
        <v>0</v>
      </c>
      <c r="AO69" s="405">
        <v>0</v>
      </c>
      <c r="AP69" s="405">
        <v>0</v>
      </c>
      <c r="AQ69" s="405">
        <v>0</v>
      </c>
      <c r="AR69" s="82">
        <f>AR63</f>
        <v>312359628.22292662</v>
      </c>
      <c r="AS69" s="82">
        <f>IF('Customer Sector'!$L$29+$K$15&gt;=AS$15,AR69/(1+'Customer Sector'!$L$30),0)</f>
        <v>303261774.97371513</v>
      </c>
      <c r="AT69" s="82">
        <f>IF('Customer Sector'!$L$29+$K$15&gt;=AT$15,AS69/(1+'Customer Sector'!$L$30),0)</f>
        <v>294428907.74147099</v>
      </c>
      <c r="AU69" s="82">
        <f>IF('Customer Sector'!$L$29+$K$15&gt;=AU$15,AT69/(1+'Customer Sector'!$L$30),0)</f>
        <v>285853308.48686504</v>
      </c>
      <c r="AV69" s="82">
        <f>IF('Customer Sector'!$L$29+$K$15&gt;=AV$15,AU69/(1+'Customer Sector'!$L$30),0)</f>
        <v>277527483.96783012</v>
      </c>
      <c r="AW69" s="82">
        <f>IF('Customer Sector'!$L$29+$K$15&gt;=AW$15,AV69/(1+'Customer Sector'!$L$30),0)</f>
        <v>269444159.1920681</v>
      </c>
      <c r="AX69" s="82">
        <f>IF('Customer Sector'!$L$29+$K$15&gt;=AX$15,AW69/(1+'Customer Sector'!$L$30),0)</f>
        <v>261596271.0602603</v>
      </c>
      <c r="AY69" s="82">
        <f>IF('Customer Sector'!$L$29+$K$15&gt;=AY$15,AX69/(1+'Customer Sector'!$L$30),0)</f>
        <v>253976962.19442746</v>
      </c>
      <c r="AZ69" s="82">
        <f>IF('Customer Sector'!$L$29+$K$15&gt;=AZ$15,AY69/(1+'Customer Sector'!$L$30),0)</f>
        <v>246579574.94604608</v>
      </c>
      <c r="BA69" s="82">
        <f>IF('Customer Sector'!$L$29+$K$15&gt;=BA$15,AZ69/(1+'Customer Sector'!$L$30),0)</f>
        <v>239397645.57868552</v>
      </c>
      <c r="BB69" s="82">
        <f>IF('Customer Sector'!$L$29+$K$15&gt;=BB$15,BA69/(1+'Customer Sector'!$L$30),0)</f>
        <v>232424898.62008303</v>
      </c>
      <c r="BC69" s="82">
        <f>IF('Customer Sector'!$L$29+$K$15&gt;=BC$15,BB69/(1+'Customer Sector'!$L$30),0)</f>
        <v>225655241.37872139</v>
      </c>
      <c r="BD69" s="82">
        <f>IF('Customer Sector'!$L$29+$K$15&gt;=BD$15,BC69/(1+'Customer Sector'!$L$30),0)</f>
        <v>219082758.62011784</v>
      </c>
      <c r="BE69" s="82">
        <f>IF('Customer Sector'!$L$29+$K$15&gt;=BE$15,BD69/(1+'Customer Sector'!$L$30),0)</f>
        <v>212701707.39817265</v>
      </c>
      <c r="BF69" s="82">
        <f>IF('Customer Sector'!$L$29+$K$15&gt;=BF$15,BE69/(1+'Customer Sector'!$L$30),0)</f>
        <v>206506512.03706083</v>
      </c>
      <c r="BG69" s="82">
        <f>IF('Customer Sector'!$L$29+$K$15&gt;=BG$15,BF69/(1+'Customer Sector'!$L$30),0)</f>
        <v>0</v>
      </c>
      <c r="BH69" s="82">
        <f>IF('Customer Sector'!$L$29+$K$15&gt;=BH$15,BG69/(1+'Customer Sector'!$L$30),0)</f>
        <v>0</v>
      </c>
      <c r="BI69" s="82">
        <f>IF('Customer Sector'!$L$29+$K$15&gt;=BI$15,BH69/(1+'Customer Sector'!$L$30),0)</f>
        <v>0</v>
      </c>
      <c r="BJ69" s="82">
        <f>IF('Customer Sector'!$L$29+$K$15&gt;=BJ$15,BI69/(1+'Customer Sector'!$L$30),0)</f>
        <v>0</v>
      </c>
      <c r="BK69" s="82">
        <f>IF('Customer Sector'!$L$29+$K$15&gt;=BK$15,BJ69/(1+'Customer Sector'!$L$30),0)</f>
        <v>0</v>
      </c>
      <c r="BL69" s="83">
        <f>IF('Customer Sector'!$L$29+$K$15&gt;=BL$15,BK69/(1+'Customer Sector'!$L$30),0)</f>
        <v>0</v>
      </c>
    </row>
    <row r="70" spans="2:64" ht="15" hidden="1" customHeight="1" outlineLevel="1" x14ac:dyDescent="0.25">
      <c r="B70" s="10"/>
      <c r="C70" s="51"/>
      <c r="D70" s="51" t="s">
        <v>34</v>
      </c>
      <c r="E70" s="51"/>
      <c r="F70" s="52" t="s">
        <v>19</v>
      </c>
      <c r="G70" s="405">
        <v>0</v>
      </c>
      <c r="H70" s="405">
        <v>0</v>
      </c>
      <c r="I70" s="405">
        <v>0</v>
      </c>
      <c r="J70" s="405">
        <v>0</v>
      </c>
      <c r="K70" s="405">
        <v>0</v>
      </c>
      <c r="L70" s="405">
        <v>0</v>
      </c>
      <c r="M70" s="82">
        <f>M63</f>
        <v>60490073.95445656</v>
      </c>
      <c r="N70" s="82">
        <f>IF('Customer Sector'!$F$29+$L$15&gt;=N$15,M70/(1+'Customer Sector'!$F$30),0)</f>
        <v>58728227.140249088</v>
      </c>
      <c r="O70" s="82">
        <f>IF('Customer Sector'!$F$29+$L$15&gt;=O$15,N70/(1+'Customer Sector'!$F$30),0)</f>
        <v>57017696.252669014</v>
      </c>
      <c r="P70" s="82">
        <f>IF('Customer Sector'!$F$29+$L$15&gt;=P$15,O70/(1+'Customer Sector'!$F$30),0)</f>
        <v>55356986.653076708</v>
      </c>
      <c r="Q70" s="82">
        <f>IF('Customer Sector'!$F$29+$L$15&gt;=Q$15,P70/(1+'Customer Sector'!$F$30),0)</f>
        <v>53744647.235996805</v>
      </c>
      <c r="R70" s="82">
        <f>IF('Customer Sector'!$F$29+$L$15&gt;=R$15,Q70/(1+'Customer Sector'!$F$30),0)</f>
        <v>52179269.161161944</v>
      </c>
      <c r="S70" s="82">
        <f>IF('Customer Sector'!$F$29+$L$15&gt;=S$15,R70/(1+'Customer Sector'!$F$30),0)</f>
        <v>50659484.622487321</v>
      </c>
      <c r="T70" s="82">
        <f>IF('Customer Sector'!$F$29+$L$15&gt;=T$15,S70/(1+'Customer Sector'!$F$30),0)</f>
        <v>49183965.652900308</v>
      </c>
      <c r="U70" s="82">
        <f>IF('Customer Sector'!$F$29+$L$15&gt;=U$15,T70/(1+'Customer Sector'!$F$30),0)</f>
        <v>47751422.963980883</v>
      </c>
      <c r="V70" s="82">
        <f>IF('Customer Sector'!$F$29+$L$15&gt;=V$15,U70/(1+'Customer Sector'!$F$30),0)</f>
        <v>46360604.819398917</v>
      </c>
      <c r="W70" s="82">
        <f>IF('Customer Sector'!$F$29+$L$15&gt;=W$15,V70/(1+'Customer Sector'!$F$30),0)</f>
        <v>0</v>
      </c>
      <c r="X70" s="82">
        <f>IF('Customer Sector'!$F$29+$L$15&gt;=X$15,W70/(1+'Customer Sector'!$F$30),0)</f>
        <v>0</v>
      </c>
      <c r="Y70" s="82">
        <f>IF('Customer Sector'!$F$29+$L$15&gt;=Y$15,X70/(1+'Customer Sector'!$F$30),0)</f>
        <v>0</v>
      </c>
      <c r="Z70" s="82">
        <f>IF('Customer Sector'!$F$29+$L$15&gt;=Z$15,Y70/(1+'Customer Sector'!$F$30),0)</f>
        <v>0</v>
      </c>
      <c r="AA70" s="82">
        <f>IF('Customer Sector'!$F$29+$L$15&gt;=AA$15,Z70/(1+'Customer Sector'!$F$30),0)</f>
        <v>0</v>
      </c>
      <c r="AB70" s="82">
        <f>IF('Customer Sector'!$F$29+$L$15&gt;=AB$15,AA70/(1+'Customer Sector'!$F$30),0)</f>
        <v>0</v>
      </c>
      <c r="AC70" s="82">
        <f>IF('Customer Sector'!$F$29+$L$15&gt;=AC$15,AB70/(1+'Customer Sector'!$F$30),0)</f>
        <v>0</v>
      </c>
      <c r="AD70" s="82">
        <f>IF('Customer Sector'!$F$29+$L$15&gt;=AD$15,AC70/(1+'Customer Sector'!$F$30),0)</f>
        <v>0</v>
      </c>
      <c r="AE70" s="82">
        <f>IF('Customer Sector'!$F$29+$L$15&gt;=AE$15,AD70/(1+'Customer Sector'!$F$30),0)</f>
        <v>0</v>
      </c>
      <c r="AF70" s="83">
        <f>IF('Customer Sector'!$F$29+$L$15&gt;=AF$15,AE70/(1+'Customer Sector'!$F$30),0)</f>
        <v>0</v>
      </c>
      <c r="AH70" s="10"/>
      <c r="AI70" s="51"/>
      <c r="AJ70" s="51" t="s">
        <v>34</v>
      </c>
      <c r="AK70" s="51"/>
      <c r="AL70" s="52" t="s">
        <v>19</v>
      </c>
      <c r="AM70" s="405">
        <v>0</v>
      </c>
      <c r="AN70" s="405">
        <v>0</v>
      </c>
      <c r="AO70" s="405">
        <v>0</v>
      </c>
      <c r="AP70" s="405">
        <v>0</v>
      </c>
      <c r="AQ70" s="405">
        <v>0</v>
      </c>
      <c r="AR70" s="405">
        <v>0</v>
      </c>
      <c r="AS70" s="82">
        <f>AS63</f>
        <v>333287723.31386268</v>
      </c>
      <c r="AT70" s="82">
        <f>IF('Customer Sector'!$L$29+$L$15&gt;=AT$15,AS70/(1+'Customer Sector'!$L$30),0)</f>
        <v>323580313.89695406</v>
      </c>
      <c r="AU70" s="82">
        <f>IF('Customer Sector'!$L$29+$L$15&gt;=AU$15,AT70/(1+'Customer Sector'!$L$30),0)</f>
        <v>314155644.56014955</v>
      </c>
      <c r="AV70" s="82">
        <f>IF('Customer Sector'!$L$29+$L$15&gt;=AV$15,AU70/(1+'Customer Sector'!$L$30),0)</f>
        <v>305005480.15548497</v>
      </c>
      <c r="AW70" s="82">
        <f>IF('Customer Sector'!$L$29+$L$15&gt;=AW$15,AV70/(1+'Customer Sector'!$L$30),0)</f>
        <v>296121825.39367473</v>
      </c>
      <c r="AX70" s="82">
        <f>IF('Customer Sector'!$L$29+$L$15&gt;=AX$15,AW70/(1+'Customer Sector'!$L$30),0)</f>
        <v>287496917.85793662</v>
      </c>
      <c r="AY70" s="82">
        <f>IF('Customer Sector'!$L$29+$L$15&gt;=AY$15,AX70/(1+'Customer Sector'!$L$30),0)</f>
        <v>279123221.22129768</v>
      </c>
      <c r="AZ70" s="82">
        <f>IF('Customer Sector'!$L$29+$L$15&gt;=AZ$15,AY70/(1+'Customer Sector'!$L$30),0)</f>
        <v>270993418.66145408</v>
      </c>
      <c r="BA70" s="82">
        <f>IF('Customer Sector'!$L$29+$L$15&gt;=BA$15,AZ70/(1+'Customer Sector'!$L$30),0)</f>
        <v>263100406.46743113</v>
      </c>
      <c r="BB70" s="82">
        <f>IF('Customer Sector'!$L$29+$L$15&gt;=BB$15,BA70/(1+'Customer Sector'!$L$30),0)</f>
        <v>255437287.83245739</v>
      </c>
      <c r="BC70" s="82">
        <f>IF('Customer Sector'!$L$29+$L$15&gt;=BC$15,BB70/(1+'Customer Sector'!$L$30),0)</f>
        <v>247997366.82762852</v>
      </c>
      <c r="BD70" s="82">
        <f>IF('Customer Sector'!$L$29+$L$15&gt;=BD$15,BC70/(1+'Customer Sector'!$L$30),0)</f>
        <v>240774142.55109563</v>
      </c>
      <c r="BE70" s="82">
        <f>IF('Customer Sector'!$L$29+$L$15&gt;=BE$15,BD70/(1+'Customer Sector'!$L$30),0)</f>
        <v>233761303.44766566</v>
      </c>
      <c r="BF70" s="82">
        <f>IF('Customer Sector'!$L$29+$L$15&gt;=BF$15,BE70/(1+'Customer Sector'!$L$30),0)</f>
        <v>226952721.79385015</v>
      </c>
      <c r="BG70" s="82">
        <f>IF('Customer Sector'!$L$29+$L$15&gt;=BG$15,BF70/(1+'Customer Sector'!$L$30),0)</f>
        <v>220342448.34354383</v>
      </c>
      <c r="BH70" s="82">
        <f>IF('Customer Sector'!$L$29+$L$15&gt;=BH$15,BG70/(1+'Customer Sector'!$L$30),0)</f>
        <v>0</v>
      </c>
      <c r="BI70" s="82">
        <f>IF('Customer Sector'!$L$29+$L$15&gt;=BI$15,BH70/(1+'Customer Sector'!$L$30),0)</f>
        <v>0</v>
      </c>
      <c r="BJ70" s="82">
        <f>IF('Customer Sector'!$L$29+$L$15&gt;=BJ$15,BI70/(1+'Customer Sector'!$L$30),0)</f>
        <v>0</v>
      </c>
      <c r="BK70" s="82">
        <f>IF('Customer Sector'!$L$29+$L$15&gt;=BK$15,BJ70/(1+'Customer Sector'!$L$30),0)</f>
        <v>0</v>
      </c>
      <c r="BL70" s="83">
        <f>IF('Customer Sector'!$L$29+$L$15&gt;=BL$15,BK70/(1+'Customer Sector'!$L$30),0)</f>
        <v>0</v>
      </c>
    </row>
    <row r="71" spans="2:64" ht="15" hidden="1" customHeight="1" outlineLevel="1" x14ac:dyDescent="0.25">
      <c r="B71" s="10"/>
      <c r="C71" s="51"/>
      <c r="D71" s="51" t="s">
        <v>35</v>
      </c>
      <c r="E71" s="51"/>
      <c r="F71" s="52" t="s">
        <v>19</v>
      </c>
      <c r="G71" s="405">
        <v>0</v>
      </c>
      <c r="H71" s="405">
        <v>0</v>
      </c>
      <c r="I71" s="405">
        <v>0</v>
      </c>
      <c r="J71" s="405">
        <v>0</v>
      </c>
      <c r="K71" s="405">
        <v>0</v>
      </c>
      <c r="L71" s="405">
        <v>0</v>
      </c>
      <c r="M71" s="405">
        <v>0</v>
      </c>
      <c r="N71" s="82">
        <f>N63</f>
        <v>61034484.62004666</v>
      </c>
      <c r="O71" s="82">
        <f>IF('Customer Sector'!$F$29+$M$15&gt;=O$15,N71/(1+'Customer Sector'!$F$30),0)</f>
        <v>59256781.184511319</v>
      </c>
      <c r="P71" s="82">
        <f>IF('Customer Sector'!$F$29+$M$15&gt;=P$15,O71/(1+'Customer Sector'!$F$30),0)</f>
        <v>57530855.518943027</v>
      </c>
      <c r="Q71" s="82">
        <f>IF('Customer Sector'!$F$29+$M$15&gt;=Q$15,P71/(1+'Customer Sector'!$F$30),0)</f>
        <v>55855199.532954395</v>
      </c>
      <c r="R71" s="82">
        <f>IF('Customer Sector'!$F$29+$M$15&gt;=R$15,Q71/(1+'Customer Sector'!$F$30),0)</f>
        <v>54228349.061120771</v>
      </c>
      <c r="S71" s="82">
        <f>IF('Customer Sector'!$F$29+$M$15&gt;=S$15,R71/(1+'Customer Sector'!$F$30),0)</f>
        <v>52648882.583612397</v>
      </c>
      <c r="T71" s="82">
        <f>IF('Customer Sector'!$F$29+$M$15&gt;=T$15,S71/(1+'Customer Sector'!$F$30),0)</f>
        <v>51115419.984089702</v>
      </c>
      <c r="U71" s="82">
        <f>IF('Customer Sector'!$F$29+$M$15&gt;=U$15,T71/(1+'Customer Sector'!$F$30),0)</f>
        <v>49626621.343776412</v>
      </c>
      <c r="V71" s="82">
        <f>IF('Customer Sector'!$F$29+$M$15&gt;=V$15,U71/(1+'Customer Sector'!$F$30),0)</f>
        <v>48181185.770656712</v>
      </c>
      <c r="W71" s="82">
        <f>IF('Customer Sector'!$F$29+$M$15&gt;=W$15,V71/(1+'Customer Sector'!$F$30),0)</f>
        <v>46777850.262773506</v>
      </c>
      <c r="X71" s="82">
        <f>IF('Customer Sector'!$F$29+$M$15&gt;=X$15,W71/(1+'Customer Sector'!$F$30),0)</f>
        <v>0</v>
      </c>
      <c r="Y71" s="82">
        <f>IF('Customer Sector'!$F$29+$M$15&gt;=Y$15,X71/(1+'Customer Sector'!$F$30),0)</f>
        <v>0</v>
      </c>
      <c r="Z71" s="82">
        <f>IF('Customer Sector'!$F$29+$M$15&gt;=Z$15,Y71/(1+'Customer Sector'!$F$30),0)</f>
        <v>0</v>
      </c>
      <c r="AA71" s="82">
        <f>IF('Customer Sector'!$F$29+$M$15&gt;=AA$15,Z71/(1+'Customer Sector'!$F$30),0)</f>
        <v>0</v>
      </c>
      <c r="AB71" s="82">
        <f>IF('Customer Sector'!$F$29+$M$15&gt;=AB$15,AA71/(1+'Customer Sector'!$F$30),0)</f>
        <v>0</v>
      </c>
      <c r="AC71" s="82">
        <f>IF('Customer Sector'!$F$29+$M$15&gt;=AC$15,AB71/(1+'Customer Sector'!$F$30),0)</f>
        <v>0</v>
      </c>
      <c r="AD71" s="82">
        <f>IF('Customer Sector'!$F$29+$M$15&gt;=AD$15,AC71/(1+'Customer Sector'!$F$30),0)</f>
        <v>0</v>
      </c>
      <c r="AE71" s="82">
        <f>IF('Customer Sector'!$F$29+$M$15&gt;=AE$15,AD71/(1+'Customer Sector'!$F$30),0)</f>
        <v>0</v>
      </c>
      <c r="AF71" s="83">
        <f>IF('Customer Sector'!$F$29+$M$15&gt;=AF$15,AE71/(1+'Customer Sector'!$F$30),0)</f>
        <v>0</v>
      </c>
      <c r="AH71" s="10"/>
      <c r="AI71" s="51"/>
      <c r="AJ71" s="51" t="s">
        <v>35</v>
      </c>
      <c r="AK71" s="51"/>
      <c r="AL71" s="52" t="s">
        <v>19</v>
      </c>
      <c r="AM71" s="405">
        <v>0</v>
      </c>
      <c r="AN71" s="405">
        <v>0</v>
      </c>
      <c r="AO71" s="405">
        <v>0</v>
      </c>
      <c r="AP71" s="405">
        <v>0</v>
      </c>
      <c r="AQ71" s="405">
        <v>0</v>
      </c>
      <c r="AR71" s="405">
        <v>0</v>
      </c>
      <c r="AS71" s="405">
        <v>0</v>
      </c>
      <c r="AT71" s="82">
        <f>AT63</f>
        <v>355618000.77589148</v>
      </c>
      <c r="AU71" s="82">
        <f>IF('Customer Sector'!$L$29+$M$15&gt;=AU$15,AT71/(1+'Customer Sector'!$L$30),0)</f>
        <v>345260194.92804998</v>
      </c>
      <c r="AV71" s="82">
        <f>IF('Customer Sector'!$L$29+$M$15&gt;=AV$15,AU71/(1+'Customer Sector'!$L$30),0)</f>
        <v>335204072.74567956</v>
      </c>
      <c r="AW71" s="82">
        <f>IF('Customer Sector'!$L$29+$M$15&gt;=AW$15,AV71/(1+'Customer Sector'!$L$30),0)</f>
        <v>325440847.32590246</v>
      </c>
      <c r="AX71" s="82">
        <f>IF('Customer Sector'!$L$29+$M$15&gt;=AX$15,AW71/(1+'Customer Sector'!$L$30),0)</f>
        <v>315961987.69505095</v>
      </c>
      <c r="AY71" s="82">
        <f>IF('Customer Sector'!$L$29+$M$15&gt;=AY$15,AX71/(1+'Customer Sector'!$L$30),0)</f>
        <v>306759211.3544184</v>
      </c>
      <c r="AZ71" s="82">
        <f>IF('Customer Sector'!$L$29+$M$15&gt;=AZ$15,AY71/(1+'Customer Sector'!$L$30),0)</f>
        <v>297824477.04312468</v>
      </c>
      <c r="BA71" s="82">
        <f>IF('Customer Sector'!$L$29+$M$15&gt;=BA$15,AZ71/(1+'Customer Sector'!$L$30),0)</f>
        <v>289149977.71177155</v>
      </c>
      <c r="BB71" s="82">
        <f>IF('Customer Sector'!$L$29+$M$15&gt;=BB$15,BA71/(1+'Customer Sector'!$L$30),0)</f>
        <v>280728133.70074904</v>
      </c>
      <c r="BC71" s="82">
        <f>IF('Customer Sector'!$L$29+$M$15&gt;=BC$15,BB71/(1+'Customer Sector'!$L$30),0)</f>
        <v>272551586.11723208</v>
      </c>
      <c r="BD71" s="82">
        <f>IF('Customer Sector'!$L$29+$M$15&gt;=BD$15,BC71/(1+'Customer Sector'!$L$30),0)</f>
        <v>264613190.40507969</v>
      </c>
      <c r="BE71" s="82">
        <f>IF('Customer Sector'!$L$29+$M$15&gt;=BE$15,BD71/(1+'Customer Sector'!$L$30),0)</f>
        <v>256906010.1020191</v>
      </c>
      <c r="BF71" s="82">
        <f>IF('Customer Sector'!$L$29+$M$15&gt;=BF$15,BE71/(1+'Customer Sector'!$L$30),0)</f>
        <v>249423310.77865931</v>
      </c>
      <c r="BG71" s="82">
        <f>IF('Customer Sector'!$L$29+$M$15&gt;=BG$15,BF71/(1+'Customer Sector'!$L$30),0)</f>
        <v>242158554.15403816</v>
      </c>
      <c r="BH71" s="82">
        <f>IF('Customer Sector'!$L$29+$M$15&gt;=BH$15,BG71/(1+'Customer Sector'!$L$30),0)</f>
        <v>235105392.38256133</v>
      </c>
      <c r="BI71" s="82">
        <f>IF('Customer Sector'!$L$29+$M$15&gt;=BI$15,BH71/(1+'Customer Sector'!$L$30),0)</f>
        <v>0</v>
      </c>
      <c r="BJ71" s="82">
        <f>IF('Customer Sector'!$L$29+$M$15&gt;=BJ$15,BI71/(1+'Customer Sector'!$L$30),0)</f>
        <v>0</v>
      </c>
      <c r="BK71" s="82">
        <f>IF('Customer Sector'!$L$29+$M$15&gt;=BK$15,BJ71/(1+'Customer Sector'!$L$30),0)</f>
        <v>0</v>
      </c>
      <c r="BL71" s="83">
        <f>IF('Customer Sector'!$L$29+$M$15&gt;=BL$15,BK71/(1+'Customer Sector'!$L$30),0)</f>
        <v>0</v>
      </c>
    </row>
    <row r="72" spans="2:64" ht="15" hidden="1" customHeight="1" outlineLevel="1" x14ac:dyDescent="0.25">
      <c r="B72" s="10"/>
      <c r="C72" s="51"/>
      <c r="D72" s="51" t="s">
        <v>36</v>
      </c>
      <c r="E72" s="51"/>
      <c r="F72" s="52" t="s">
        <v>19</v>
      </c>
      <c r="G72" s="405">
        <v>0</v>
      </c>
      <c r="H72" s="405">
        <v>0</v>
      </c>
      <c r="I72" s="405">
        <v>0</v>
      </c>
      <c r="J72" s="405">
        <v>0</v>
      </c>
      <c r="K72" s="405">
        <v>0</v>
      </c>
      <c r="L72" s="405">
        <v>0</v>
      </c>
      <c r="M72" s="405">
        <v>0</v>
      </c>
      <c r="N72" s="405">
        <v>0</v>
      </c>
      <c r="O72" s="82">
        <f>O63</f>
        <v>61583794.981627077</v>
      </c>
      <c r="P72" s="82">
        <f>IF('Customer Sector'!$F$29+$N$15&gt;=P$15,O72/(1+'Customer Sector'!$F$30),0)</f>
        <v>59790092.215171918</v>
      </c>
      <c r="Q72" s="82">
        <f>IF('Customer Sector'!$F$29+$N$15&gt;=Q$15,P72/(1+'Customer Sector'!$F$30),0)</f>
        <v>58048633.218613513</v>
      </c>
      <c r="R72" s="82">
        <f>IF('Customer Sector'!$F$29+$N$15&gt;=R$15,Q72/(1+'Customer Sector'!$F$30),0)</f>
        <v>56357896.328750983</v>
      </c>
      <c r="S72" s="82">
        <f>IF('Customer Sector'!$F$29+$N$15&gt;=S$15,R72/(1+'Customer Sector'!$F$30),0)</f>
        <v>54716404.202670857</v>
      </c>
      <c r="T72" s="82">
        <f>IF('Customer Sector'!$F$29+$N$15&gt;=T$15,S72/(1+'Customer Sector'!$F$30),0)</f>
        <v>53122722.526864909</v>
      </c>
      <c r="U72" s="82">
        <f>IF('Customer Sector'!$F$29+$N$15&gt;=U$15,T72/(1+'Customer Sector'!$F$30),0)</f>
        <v>51575458.763946511</v>
      </c>
      <c r="V72" s="82">
        <f>IF('Customer Sector'!$F$29+$N$15&gt;=V$15,U72/(1+'Customer Sector'!$F$30),0)</f>
        <v>50073260.935870394</v>
      </c>
      <c r="W72" s="82">
        <f>IF('Customer Sector'!$F$29+$N$15&gt;=W$15,V72/(1+'Customer Sector'!$F$30),0)</f>
        <v>48614816.442592613</v>
      </c>
      <c r="X72" s="82">
        <f>IF('Customer Sector'!$F$29+$N$15&gt;=X$15,W72/(1+'Customer Sector'!$F$30),0)</f>
        <v>47198850.915138461</v>
      </c>
      <c r="Y72" s="82">
        <f>IF('Customer Sector'!$F$29+$N$15&gt;=Y$15,X72/(1+'Customer Sector'!$F$30),0)</f>
        <v>0</v>
      </c>
      <c r="Z72" s="82">
        <f>IF('Customer Sector'!$F$29+$N$15&gt;=Z$15,Y72/(1+'Customer Sector'!$F$30),0)</f>
        <v>0</v>
      </c>
      <c r="AA72" s="82">
        <f>IF('Customer Sector'!$F$29+$N$15&gt;=AA$15,Z72/(1+'Customer Sector'!$F$30),0)</f>
        <v>0</v>
      </c>
      <c r="AB72" s="82">
        <f>IF('Customer Sector'!$F$29+$N$15&gt;=AB$15,AA72/(1+'Customer Sector'!$F$30),0)</f>
        <v>0</v>
      </c>
      <c r="AC72" s="82">
        <f>IF('Customer Sector'!$F$29+$N$15&gt;=AC$15,AB72/(1+'Customer Sector'!$F$30),0)</f>
        <v>0</v>
      </c>
      <c r="AD72" s="82">
        <f>IF('Customer Sector'!$F$29+$N$15&gt;=AD$15,AC72/(1+'Customer Sector'!$F$30),0)</f>
        <v>0</v>
      </c>
      <c r="AE72" s="82">
        <f>IF('Customer Sector'!$F$29+$N$15&gt;=AE$15,AD72/(1+'Customer Sector'!$F$30),0)</f>
        <v>0</v>
      </c>
      <c r="AF72" s="83">
        <f>IF('Customer Sector'!$F$29+$N$15&gt;=AF$15,AE72/(1+'Customer Sector'!$F$30),0)</f>
        <v>0</v>
      </c>
      <c r="AH72" s="10"/>
      <c r="AI72" s="51"/>
      <c r="AJ72" s="51" t="s">
        <v>36</v>
      </c>
      <c r="AK72" s="51"/>
      <c r="AL72" s="52" t="s">
        <v>19</v>
      </c>
      <c r="AM72" s="405">
        <v>0</v>
      </c>
      <c r="AN72" s="405">
        <v>0</v>
      </c>
      <c r="AO72" s="405">
        <v>0</v>
      </c>
      <c r="AP72" s="405">
        <v>0</v>
      </c>
      <c r="AQ72" s="405">
        <v>0</v>
      </c>
      <c r="AR72" s="405">
        <v>0</v>
      </c>
      <c r="AS72" s="405">
        <v>0</v>
      </c>
      <c r="AT72" s="405">
        <v>0</v>
      </c>
      <c r="AU72" s="82">
        <f>AU63</f>
        <v>379444406.82787621</v>
      </c>
      <c r="AV72" s="82">
        <f>IF('Customer Sector'!$L$29+$N$15&gt;=AV$15,AU72/(1+'Customer Sector'!$L$30),0)</f>
        <v>368392627.98822933</v>
      </c>
      <c r="AW72" s="82">
        <f>IF('Customer Sector'!$L$29+$N$15&gt;=AW$15,AV72/(1+'Customer Sector'!$L$30),0)</f>
        <v>357662745.61964011</v>
      </c>
      <c r="AX72" s="82">
        <f>IF('Customer Sector'!$L$29+$N$15&gt;=AX$15,AW72/(1+'Customer Sector'!$L$30),0)</f>
        <v>347245384.09673798</v>
      </c>
      <c r="AY72" s="82">
        <f>IF('Customer Sector'!$L$29+$N$15&gt;=AY$15,AX72/(1+'Customer Sector'!$L$30),0)</f>
        <v>337131440.87061942</v>
      </c>
      <c r="AZ72" s="82">
        <f>IF('Customer Sector'!$L$29+$N$15&gt;=AZ$15,AY72/(1+'Customer Sector'!$L$30),0)</f>
        <v>327312078.51516449</v>
      </c>
      <c r="BA72" s="82">
        <f>IF('Customer Sector'!$L$29+$N$15&gt;=BA$15,AZ72/(1+'Customer Sector'!$L$30),0)</f>
        <v>317778717.00501406</v>
      </c>
      <c r="BB72" s="82">
        <f>IF('Customer Sector'!$L$29+$N$15&gt;=BB$15,BA72/(1+'Customer Sector'!$L$30),0)</f>
        <v>308523026.21846026</v>
      </c>
      <c r="BC72" s="82">
        <f>IF('Customer Sector'!$L$29+$N$15&gt;=BC$15,BB72/(1+'Customer Sector'!$L$30),0)</f>
        <v>299536918.65869927</v>
      </c>
      <c r="BD72" s="82">
        <f>IF('Customer Sector'!$L$29+$N$15&gt;=BD$15,BC72/(1+'Customer Sector'!$L$30),0)</f>
        <v>290812542.38708669</v>
      </c>
      <c r="BE72" s="82">
        <f>IF('Customer Sector'!$L$29+$N$15&gt;=BE$15,BD72/(1+'Customer Sector'!$L$30),0)</f>
        <v>282342274.16222006</v>
      </c>
      <c r="BF72" s="82">
        <f>IF('Customer Sector'!$L$29+$N$15&gt;=BF$15,BE72/(1+'Customer Sector'!$L$30),0)</f>
        <v>274118712.77885443</v>
      </c>
      <c r="BG72" s="82">
        <f>IF('Customer Sector'!$L$29+$N$15&gt;=BG$15,BF72/(1+'Customer Sector'!$L$30),0)</f>
        <v>266134672.60082954</v>
      </c>
      <c r="BH72" s="82">
        <f>IF('Customer Sector'!$L$29+$N$15&gt;=BH$15,BG72/(1+'Customer Sector'!$L$30),0)</f>
        <v>258383177.28235877</v>
      </c>
      <c r="BI72" s="82">
        <f>IF('Customer Sector'!$L$29+$N$15&gt;=BI$15,BH72/(1+'Customer Sector'!$L$30),0)</f>
        <v>250857453.67219296</v>
      </c>
      <c r="BJ72" s="82">
        <f>IF('Customer Sector'!$L$29+$N$15&gt;=BJ$15,BI72/(1+'Customer Sector'!$L$30),0)</f>
        <v>0</v>
      </c>
      <c r="BK72" s="82">
        <f>IF('Customer Sector'!$L$29+$N$15&gt;=BK$15,BJ72/(1+'Customer Sector'!$L$30),0)</f>
        <v>0</v>
      </c>
      <c r="BL72" s="83">
        <f>IF('Customer Sector'!$L$29+$N$15&gt;=BL$15,BK72/(1+'Customer Sector'!$L$30),0)</f>
        <v>0</v>
      </c>
    </row>
    <row r="73" spans="2:64" ht="15" hidden="1" customHeight="1" outlineLevel="1" x14ac:dyDescent="0.25">
      <c r="B73" s="10"/>
      <c r="C73" s="51"/>
      <c r="D73" s="51" t="s">
        <v>37</v>
      </c>
      <c r="E73" s="51"/>
      <c r="F73" s="52" t="s">
        <v>19</v>
      </c>
      <c r="G73" s="405">
        <v>0</v>
      </c>
      <c r="H73" s="405">
        <v>0</v>
      </c>
      <c r="I73" s="405">
        <v>0</v>
      </c>
      <c r="J73" s="405">
        <v>0</v>
      </c>
      <c r="K73" s="405">
        <v>0</v>
      </c>
      <c r="L73" s="405">
        <v>0</v>
      </c>
      <c r="M73" s="405">
        <v>0</v>
      </c>
      <c r="N73" s="405">
        <v>0</v>
      </c>
      <c r="O73" s="405">
        <v>0</v>
      </c>
      <c r="P73" s="82">
        <f>P63</f>
        <v>62138049.136461712</v>
      </c>
      <c r="Q73" s="82">
        <f>IF('Customer Sector'!$F$29+$O$15&gt;=Q$15,P73/(1+'Customer Sector'!$F$30),0)</f>
        <v>60328203.04510846</v>
      </c>
      <c r="R73" s="82">
        <f>IF('Customer Sector'!$F$29+$O$15&gt;=R$15,Q73/(1+'Customer Sector'!$F$30),0)</f>
        <v>58571070.917581029</v>
      </c>
      <c r="S73" s="82">
        <f>IF('Customer Sector'!$F$29+$O$15&gt;=S$15,R73/(1+'Customer Sector'!$F$30),0)</f>
        <v>56865117.395709738</v>
      </c>
      <c r="T73" s="82">
        <f>IF('Customer Sector'!$F$29+$O$15&gt;=T$15,S73/(1+'Customer Sector'!$F$30),0)</f>
        <v>55208851.840494893</v>
      </c>
      <c r="U73" s="82">
        <f>IF('Customer Sector'!$F$29+$O$15&gt;=U$15,T73/(1+'Customer Sector'!$F$30),0)</f>
        <v>53600827.029606692</v>
      </c>
      <c r="V73" s="82">
        <f>IF('Customer Sector'!$F$29+$O$15&gt;=V$15,U73/(1+'Customer Sector'!$F$30),0)</f>
        <v>52039637.892822027</v>
      </c>
      <c r="W73" s="82">
        <f>IF('Customer Sector'!$F$29+$O$15&gt;=W$15,V73/(1+'Customer Sector'!$F$30),0)</f>
        <v>50523920.284293227</v>
      </c>
      <c r="X73" s="82">
        <f>IF('Customer Sector'!$F$29+$O$15&gt;=X$15,W73/(1+'Customer Sector'!$F$30),0)</f>
        <v>49052349.790575944</v>
      </c>
      <c r="Y73" s="82">
        <f>IF('Customer Sector'!$F$29+$O$15&gt;=Y$15,X73/(1+'Customer Sector'!$F$30),0)</f>
        <v>47623640.573374704</v>
      </c>
      <c r="Z73" s="82">
        <f>IF('Customer Sector'!$F$29+$O$15&gt;=Z$15,Y73/(1+'Customer Sector'!$F$30),0)</f>
        <v>0</v>
      </c>
      <c r="AA73" s="82">
        <f>IF('Customer Sector'!$F$29+$O$15&gt;=AA$15,Z73/(1+'Customer Sector'!$F$30),0)</f>
        <v>0</v>
      </c>
      <c r="AB73" s="82">
        <f>IF('Customer Sector'!$F$29+$O$15&gt;=AB$15,AA73/(1+'Customer Sector'!$F$30),0)</f>
        <v>0</v>
      </c>
      <c r="AC73" s="82">
        <f>IF('Customer Sector'!$F$29+$O$15&gt;=AC$15,AB73/(1+'Customer Sector'!$F$30),0)</f>
        <v>0</v>
      </c>
      <c r="AD73" s="82">
        <f>IF('Customer Sector'!$F$29+$O$15&gt;=AD$15,AC73/(1+'Customer Sector'!$F$30),0)</f>
        <v>0</v>
      </c>
      <c r="AE73" s="82">
        <f>IF('Customer Sector'!$F$29+$O$15&gt;=AE$15,AD73/(1+'Customer Sector'!$F$30),0)</f>
        <v>0</v>
      </c>
      <c r="AF73" s="83">
        <f>IF('Customer Sector'!$F$29+$O$15&gt;=AF$15,AE73/(1+'Customer Sector'!$F$30),0)</f>
        <v>0</v>
      </c>
      <c r="AH73" s="10"/>
      <c r="AI73" s="51"/>
      <c r="AJ73" s="51" t="s">
        <v>37</v>
      </c>
      <c r="AK73" s="51"/>
      <c r="AL73" s="52" t="s">
        <v>19</v>
      </c>
      <c r="AM73" s="405">
        <v>0</v>
      </c>
      <c r="AN73" s="405">
        <v>0</v>
      </c>
      <c r="AO73" s="405">
        <v>0</v>
      </c>
      <c r="AP73" s="405">
        <v>0</v>
      </c>
      <c r="AQ73" s="405">
        <v>0</v>
      </c>
      <c r="AR73" s="405">
        <v>0</v>
      </c>
      <c r="AS73" s="405">
        <v>0</v>
      </c>
      <c r="AT73" s="405">
        <v>0</v>
      </c>
      <c r="AU73" s="405">
        <v>0</v>
      </c>
      <c r="AV73" s="82">
        <f>AV63</f>
        <v>404867182.0853439</v>
      </c>
      <c r="AW73" s="82">
        <f>IF('Customer Sector'!$L$29+$O$15&gt;=AW$15,AV73/(1+'Customer Sector'!$L$30),0)</f>
        <v>393074934.06344068</v>
      </c>
      <c r="AX73" s="82">
        <f>IF('Customer Sector'!$L$29+$O$15&gt;=AX$15,AW73/(1+'Customer Sector'!$L$30),0)</f>
        <v>381626149.57615602</v>
      </c>
      <c r="AY73" s="82">
        <f>IF('Customer Sector'!$L$29+$O$15&gt;=AY$15,AX73/(1+'Customer Sector'!$L$30),0)</f>
        <v>370510824.83121943</v>
      </c>
      <c r="AZ73" s="82">
        <f>IF('Customer Sector'!$L$29+$O$15&gt;=AZ$15,AY73/(1+'Customer Sector'!$L$30),0)</f>
        <v>359719247.40895092</v>
      </c>
      <c r="BA73" s="82">
        <f>IF('Customer Sector'!$L$29+$O$15&gt;=BA$15,AZ73/(1+'Customer Sector'!$L$30),0)</f>
        <v>349241987.77568048</v>
      </c>
      <c r="BB73" s="82">
        <f>IF('Customer Sector'!$L$29+$O$15&gt;=BB$15,BA73/(1+'Customer Sector'!$L$30),0)</f>
        <v>339069891.04434997</v>
      </c>
      <c r="BC73" s="82">
        <f>IF('Customer Sector'!$L$29+$O$15&gt;=BC$15,BB73/(1+'Customer Sector'!$L$30),0)</f>
        <v>329194068.97509706</v>
      </c>
      <c r="BD73" s="82">
        <f>IF('Customer Sector'!$L$29+$O$15&gt;=BD$15,BC73/(1+'Customer Sector'!$L$30),0)</f>
        <v>319605892.20883209</v>
      </c>
      <c r="BE73" s="82">
        <f>IF('Customer Sector'!$L$29+$O$15&gt;=BE$15,BD73/(1+'Customer Sector'!$L$30),0)</f>
        <v>310296982.72702146</v>
      </c>
      <c r="BF73" s="82">
        <f>IF('Customer Sector'!$L$29+$O$15&gt;=BF$15,BE73/(1+'Customer Sector'!$L$30),0)</f>
        <v>301259206.53108877</v>
      </c>
      <c r="BG73" s="82">
        <f>IF('Customer Sector'!$L$29+$O$15&gt;=BG$15,BF73/(1+'Customer Sector'!$L$30),0)</f>
        <v>292484666.53503764</v>
      </c>
      <c r="BH73" s="82">
        <f>IF('Customer Sector'!$L$29+$O$15&gt;=BH$15,BG73/(1+'Customer Sector'!$L$30),0)</f>
        <v>283965695.66508508</v>
      </c>
      <c r="BI73" s="82">
        <f>IF('Customer Sector'!$L$29+$O$15&gt;=BI$15,BH73/(1+'Customer Sector'!$L$30),0)</f>
        <v>275694850.16027677</v>
      </c>
      <c r="BJ73" s="82">
        <f>IF('Customer Sector'!$L$29+$O$15&gt;=BJ$15,BI73/(1+'Customer Sector'!$L$30),0)</f>
        <v>267664903.06822985</v>
      </c>
      <c r="BK73" s="82">
        <f>IF('Customer Sector'!$L$29+$O$15&gt;=BK$15,BJ73/(1+'Customer Sector'!$L$30),0)</f>
        <v>0</v>
      </c>
      <c r="BL73" s="83">
        <f>IF('Customer Sector'!$L$29+$O$15&gt;=BL$15,BK73/(1+'Customer Sector'!$L$30),0)</f>
        <v>0</v>
      </c>
    </row>
    <row r="74" spans="2:64" ht="15" hidden="1" customHeight="1" outlineLevel="1" x14ac:dyDescent="0.25">
      <c r="B74" s="10"/>
      <c r="C74" s="51"/>
      <c r="D74" s="51" t="s">
        <v>38</v>
      </c>
      <c r="E74" s="51"/>
      <c r="F74" s="52" t="s">
        <v>19</v>
      </c>
      <c r="G74" s="405">
        <v>0</v>
      </c>
      <c r="H74" s="405">
        <v>0</v>
      </c>
      <c r="I74" s="405">
        <v>0</v>
      </c>
      <c r="J74" s="405">
        <v>0</v>
      </c>
      <c r="K74" s="405">
        <v>0</v>
      </c>
      <c r="L74" s="405">
        <v>0</v>
      </c>
      <c r="M74" s="405">
        <v>0</v>
      </c>
      <c r="N74" s="405">
        <v>0</v>
      </c>
      <c r="O74" s="405">
        <v>0</v>
      </c>
      <c r="P74" s="405">
        <v>0</v>
      </c>
      <c r="Q74" s="82">
        <f>Q63</f>
        <v>62697291.578689858</v>
      </c>
      <c r="R74" s="82">
        <f>IF('Customer Sector'!$F$29+$P$15&gt;=R$15,Q74/(1+'Customer Sector'!$F$30),0)</f>
        <v>60871156.872514427</v>
      </c>
      <c r="S74" s="82">
        <f>IF('Customer Sector'!$F$29+$P$15&gt;=S$15,R74/(1+'Customer Sector'!$F$30),0)</f>
        <v>59098210.555839248</v>
      </c>
      <c r="T74" s="82">
        <f>IF('Customer Sector'!$F$29+$P$15&gt;=T$15,S74/(1+'Customer Sector'!$F$30),0)</f>
        <v>57376903.452271111</v>
      </c>
      <c r="U74" s="82">
        <f>IF('Customer Sector'!$F$29+$P$15&gt;=U$15,T74/(1+'Customer Sector'!$F$30),0)</f>
        <v>55705731.507059328</v>
      </c>
      <c r="V74" s="82">
        <f>IF('Customer Sector'!$F$29+$P$15&gt;=V$15,U74/(1+'Customer Sector'!$F$30),0)</f>
        <v>54083234.472873136</v>
      </c>
      <c r="W74" s="82">
        <f>IF('Customer Sector'!$F$29+$P$15&gt;=W$15,V74/(1+'Customer Sector'!$F$30),0)</f>
        <v>52507994.633857414</v>
      </c>
      <c r="X74" s="82">
        <f>IF('Customer Sector'!$F$29+$P$15&gt;=X$15,W74/(1+'Customer Sector'!$F$30),0)</f>
        <v>50978635.566851854</v>
      </c>
      <c r="Y74" s="82">
        <f>IF('Customer Sector'!$F$29+$P$15&gt;=Y$15,X74/(1+'Customer Sector'!$F$30),0)</f>
        <v>49493820.938691117</v>
      </c>
      <c r="Z74" s="82">
        <f>IF('Customer Sector'!$F$29+$P$15&gt;=Z$15,Y74/(1+'Customer Sector'!$F$30),0)</f>
        <v>48052253.338535063</v>
      </c>
      <c r="AA74" s="82">
        <f>IF('Customer Sector'!$F$29+$P$15&gt;=AA$15,Z74/(1+'Customer Sector'!$F$30),0)</f>
        <v>0</v>
      </c>
      <c r="AB74" s="82">
        <f>IF('Customer Sector'!$F$29+$P$15&gt;=AB$15,AA74/(1+'Customer Sector'!$F$30),0)</f>
        <v>0</v>
      </c>
      <c r="AC74" s="82">
        <f>IF('Customer Sector'!$F$29+$P$15&gt;=AC$15,AB74/(1+'Customer Sector'!$F$30),0)</f>
        <v>0</v>
      </c>
      <c r="AD74" s="82">
        <f>IF('Customer Sector'!$F$29+$P$15&gt;=AD$15,AC74/(1+'Customer Sector'!$F$30),0)</f>
        <v>0</v>
      </c>
      <c r="AE74" s="82">
        <f>IF('Customer Sector'!$F$29+$P$15&gt;=AE$15,AD74/(1+'Customer Sector'!$F$30),0)</f>
        <v>0</v>
      </c>
      <c r="AF74" s="83">
        <f>IF('Customer Sector'!$F$29+$P$15&gt;=AF$15,AE74/(1+'Customer Sector'!$F$30),0)</f>
        <v>0</v>
      </c>
      <c r="AH74" s="10"/>
      <c r="AI74" s="51"/>
      <c r="AJ74" s="51" t="s">
        <v>38</v>
      </c>
      <c r="AK74" s="51"/>
      <c r="AL74" s="52" t="s">
        <v>19</v>
      </c>
      <c r="AM74" s="405">
        <v>0</v>
      </c>
      <c r="AN74" s="405">
        <v>0</v>
      </c>
      <c r="AO74" s="405">
        <v>0</v>
      </c>
      <c r="AP74" s="405">
        <v>0</v>
      </c>
      <c r="AQ74" s="405">
        <v>0</v>
      </c>
      <c r="AR74" s="405">
        <v>0</v>
      </c>
      <c r="AS74" s="405">
        <v>0</v>
      </c>
      <c r="AT74" s="405">
        <v>0</v>
      </c>
      <c r="AU74" s="405">
        <v>0</v>
      </c>
      <c r="AV74" s="405">
        <v>0</v>
      </c>
      <c r="AW74" s="82">
        <f>AW63</f>
        <v>431993283.2850619</v>
      </c>
      <c r="AX74" s="82">
        <f>IF('Customer Sector'!$L$29+$P$15&gt;=AX$15,AW74/(1+'Customer Sector'!$L$30),0)</f>
        <v>419410954.64569116</v>
      </c>
      <c r="AY74" s="82">
        <f>IF('Customer Sector'!$L$29+$P$15&gt;=AY$15,AX74/(1+'Customer Sector'!$L$30),0)</f>
        <v>407195101.59775841</v>
      </c>
      <c r="AZ74" s="82">
        <f>IF('Customer Sector'!$L$29+$P$15&gt;=AZ$15,AY74/(1+'Customer Sector'!$L$30),0)</f>
        <v>395335050.0949111</v>
      </c>
      <c r="BA74" s="82">
        <f>IF('Customer Sector'!$L$29+$P$15&gt;=BA$15,AZ74/(1+'Customer Sector'!$L$30),0)</f>
        <v>383820436.98535055</v>
      </c>
      <c r="BB74" s="82">
        <f>IF('Customer Sector'!$L$29+$P$15&gt;=BB$15,BA74/(1+'Customer Sector'!$L$30),0)</f>
        <v>372641200.95665103</v>
      </c>
      <c r="BC74" s="82">
        <f>IF('Customer Sector'!$L$29+$P$15&gt;=BC$15,BB74/(1+'Customer Sector'!$L$30),0)</f>
        <v>361787573.74432141</v>
      </c>
      <c r="BD74" s="82">
        <f>IF('Customer Sector'!$L$29+$P$15&gt;=BD$15,BC74/(1+'Customer Sector'!$L$30),0)</f>
        <v>351250071.59642851</v>
      </c>
      <c r="BE74" s="82">
        <f>IF('Customer Sector'!$L$29+$P$15&gt;=BE$15,BD74/(1+'Customer Sector'!$L$30),0)</f>
        <v>341019486.9868238</v>
      </c>
      <c r="BF74" s="82">
        <f>IF('Customer Sector'!$L$29+$P$15&gt;=BF$15,BE74/(1+'Customer Sector'!$L$30),0)</f>
        <v>331086880.56973183</v>
      </c>
      <c r="BG74" s="82">
        <f>IF('Customer Sector'!$L$29+$P$15&gt;=BG$15,BF74/(1+'Customer Sector'!$L$30),0)</f>
        <v>321443573.36867166</v>
      </c>
      <c r="BH74" s="82">
        <f>IF('Customer Sector'!$L$29+$P$15&gt;=BH$15,BG74/(1+'Customer Sector'!$L$30),0)</f>
        <v>312081139.1928851</v>
      </c>
      <c r="BI74" s="82">
        <f>IF('Customer Sector'!$L$29+$P$15&gt;=BI$15,BH74/(1+'Customer Sector'!$L$30),0)</f>
        <v>302991397.27464575</v>
      </c>
      <c r="BJ74" s="82">
        <f>IF('Customer Sector'!$L$29+$P$15&gt;=BJ$15,BI74/(1+'Customer Sector'!$L$30),0)</f>
        <v>294166405.12101525</v>
      </c>
      <c r="BK74" s="82">
        <f>IF('Customer Sector'!$L$29+$P$15&gt;=BK$15,BJ74/(1+'Customer Sector'!$L$30),0)</f>
        <v>285598451.57380122</v>
      </c>
      <c r="BL74" s="83">
        <f>IF('Customer Sector'!$L$29+$P$15&gt;=BL$15,BK74/(1+'Customer Sector'!$L$30),0)</f>
        <v>0</v>
      </c>
    </row>
    <row r="75" spans="2:64" ht="15" customHeight="1" collapsed="1" x14ac:dyDescent="0.25">
      <c r="B75" s="2" t="s">
        <v>285</v>
      </c>
      <c r="C75" s="3"/>
      <c r="D75" s="3"/>
      <c r="E75" s="3"/>
      <c r="F75" s="12" t="s">
        <v>79</v>
      </c>
      <c r="G75" s="43">
        <v>0</v>
      </c>
      <c r="H75" s="41">
        <f>H10*(1+'Customer Sector'!$F$88)</f>
        <v>10200</v>
      </c>
      <c r="I75" s="41">
        <f ca="1">I10*(1+'Customer Sector'!$F$88)</f>
        <v>10250.999999999998</v>
      </c>
      <c r="J75" s="41">
        <f ca="1">J10*(1+'Customer Sector'!$F$88)</f>
        <v>10302.254999999997</v>
      </c>
      <c r="K75" s="41">
        <f ca="1">K10*(1+'Customer Sector'!$F$88)</f>
        <v>10353.766274999996</v>
      </c>
      <c r="L75" s="41">
        <f ca="1">L10*(1+'Customer Sector'!$F$88)</f>
        <v>10405.535106374995</v>
      </c>
      <c r="M75" s="41">
        <f ca="1">M10*(1+'Customer Sector'!$F$88)</f>
        <v>10457.562781906869</v>
      </c>
      <c r="N75" s="41">
        <f ca="1">N10*(1+'Customer Sector'!$F$88)</f>
        <v>10509.850595816402</v>
      </c>
      <c r="O75" s="41">
        <f ca="1">O10*(1+'Customer Sector'!$F$88)</f>
        <v>10562.399848795483</v>
      </c>
      <c r="P75" s="41">
        <f ca="1">P10*(1+'Customer Sector'!$F$88)</f>
        <v>10615.21184803946</v>
      </c>
      <c r="Q75" s="41">
        <f ca="1">Q10*(1+'Customer Sector'!$F$88)</f>
        <v>10668.287907279657</v>
      </c>
      <c r="R75" s="41">
        <f>R10*(1+'Customer Sector'!$F$88)</f>
        <v>0</v>
      </c>
      <c r="S75" s="41">
        <f>S10*(1+'Customer Sector'!$F$88)</f>
        <v>0</v>
      </c>
      <c r="T75" s="41">
        <f>T10*(1+'Customer Sector'!$F$88)</f>
        <v>0</v>
      </c>
      <c r="U75" s="41">
        <f>U10*(1+'Customer Sector'!$F$88)</f>
        <v>0</v>
      </c>
      <c r="V75" s="41">
        <f>V10*(1+'Customer Sector'!$F$88)</f>
        <v>0</v>
      </c>
      <c r="W75" s="41">
        <f>W10*(1+'Customer Sector'!$F$88)</f>
        <v>0</v>
      </c>
      <c r="X75" s="41">
        <f>X10*(1+'Customer Sector'!$F$88)</f>
        <v>0</v>
      </c>
      <c r="Y75" s="41">
        <f>Y10*(1+'Customer Sector'!$F$88)</f>
        <v>0</v>
      </c>
      <c r="Z75" s="41">
        <f>Z10*(1+'Customer Sector'!$F$88)</f>
        <v>0</v>
      </c>
      <c r="AA75" s="41">
        <f>AA10*(1+'Customer Sector'!$F$88)</f>
        <v>0</v>
      </c>
      <c r="AB75" s="41">
        <f>AB10*(1+'Customer Sector'!$F$88)</f>
        <v>0</v>
      </c>
      <c r="AC75" s="41">
        <f>AC10*(1+'Customer Sector'!$F$88)</f>
        <v>0</v>
      </c>
      <c r="AD75" s="41">
        <f>AD10*(1+'Customer Sector'!$F$88)</f>
        <v>0</v>
      </c>
      <c r="AE75" s="41">
        <f>AE10*(1+'Customer Sector'!$F$88)</f>
        <v>0</v>
      </c>
      <c r="AF75" s="42">
        <f>AF10*(1+'Customer Sector'!$F$88)</f>
        <v>0</v>
      </c>
      <c r="AH75" s="2" t="s">
        <v>285</v>
      </c>
      <c r="AI75" s="3"/>
      <c r="AJ75" s="3"/>
      <c r="AK75" s="3"/>
      <c r="AL75" s="12" t="s">
        <v>79</v>
      </c>
      <c r="AM75" s="43">
        <v>0</v>
      </c>
      <c r="AN75" s="41">
        <f>AN10*(1+'Customer Sector'!$L$88)</f>
        <v>55348</v>
      </c>
      <c r="AO75" s="41">
        <f>AO10*(1+'Customer Sector'!$L$88)</f>
        <v>56067.523999999998</v>
      </c>
      <c r="AP75" s="41">
        <f>AP10*(1+'Customer Sector'!$L$88)</f>
        <v>56796.401811999989</v>
      </c>
      <c r="AQ75" s="41">
        <f>AQ10*(1+'Customer Sector'!$L$88)</f>
        <v>57534.755035555987</v>
      </c>
      <c r="AR75" s="41">
        <f>AR10*(1+'Customer Sector'!$L$88)</f>
        <v>58282.706851018207</v>
      </c>
      <c r="AS75" s="41">
        <f>AS10*(1+'Customer Sector'!$L$88)</f>
        <v>59040.382040081437</v>
      </c>
      <c r="AT75" s="41">
        <f>AT10*(1+'Customer Sector'!$L$88)</f>
        <v>59807.907006602487</v>
      </c>
      <c r="AU75" s="41">
        <f>AU10*(1+'Customer Sector'!$L$88)</f>
        <v>60585.409797688313</v>
      </c>
      <c r="AV75" s="41">
        <f>AV10*(1+'Customer Sector'!$L$88)</f>
        <v>61373.020125058254</v>
      </c>
      <c r="AW75" s="41">
        <f>AW10*(1+'Customer Sector'!$L$88)</f>
        <v>62170.869386684004</v>
      </c>
      <c r="AX75" s="41">
        <f>AX10*(1+'Customer Sector'!$L$88)</f>
        <v>0</v>
      </c>
      <c r="AY75" s="41">
        <f>AY10*(1+'Customer Sector'!$L$88)</f>
        <v>0</v>
      </c>
      <c r="AZ75" s="41">
        <f>AZ10*(1+'Customer Sector'!$L$88)</f>
        <v>0</v>
      </c>
      <c r="BA75" s="41">
        <f>BA10*(1+'Customer Sector'!$L$88)</f>
        <v>0</v>
      </c>
      <c r="BB75" s="41">
        <f>BB10*(1+'Customer Sector'!$L$88)</f>
        <v>0</v>
      </c>
      <c r="BC75" s="41">
        <f>BC10*(1+'Customer Sector'!$L$88)</f>
        <v>0</v>
      </c>
      <c r="BD75" s="41">
        <f>BD10*(1+'Customer Sector'!$L$88)</f>
        <v>0</v>
      </c>
      <c r="BE75" s="41">
        <f>BE10*(1+'Customer Sector'!$L$88)</f>
        <v>0</v>
      </c>
      <c r="BF75" s="41">
        <f>BF10*(1+'Customer Sector'!$L$88)</f>
        <v>0</v>
      </c>
      <c r="BG75" s="41">
        <f>BG10*(1+'Customer Sector'!$L$88)</f>
        <v>0</v>
      </c>
      <c r="BH75" s="41">
        <f>BH10*(1+'Customer Sector'!$L$88)</f>
        <v>0</v>
      </c>
      <c r="BI75" s="41">
        <f>BI10*(1+'Customer Sector'!$L$88)</f>
        <v>0</v>
      </c>
      <c r="BJ75" s="41">
        <f>BJ10*(1+'Customer Sector'!$L$88)</f>
        <v>0</v>
      </c>
      <c r="BK75" s="41">
        <f>BK10*(1+'Customer Sector'!$L$88)</f>
        <v>0</v>
      </c>
      <c r="BL75" s="42">
        <f>BL10*(1+'Customer Sector'!$L$88)</f>
        <v>0</v>
      </c>
    </row>
    <row r="76" spans="2:64" ht="15" customHeight="1" x14ac:dyDescent="0.25">
      <c r="B76" s="2"/>
      <c r="C76" s="404" t="s">
        <v>288</v>
      </c>
      <c r="D76" s="404"/>
      <c r="E76" s="51"/>
      <c r="F76" s="52" t="s">
        <v>19</v>
      </c>
      <c r="G76" s="405">
        <v>0</v>
      </c>
      <c r="H76" s="82">
        <f t="shared" ref="H76:AF76" si="71">SUM(H77:H86)</f>
        <v>10200</v>
      </c>
      <c r="I76" s="82">
        <f t="shared" ca="1" si="71"/>
        <v>20153.912621359221</v>
      </c>
      <c r="J76" s="82">
        <f t="shared" ca="1" si="71"/>
        <v>29869.160457630307</v>
      </c>
      <c r="K76" s="82">
        <f t="shared" ca="1" si="71"/>
        <v>39352.951185320679</v>
      </c>
      <c r="L76" s="82">
        <f t="shared" ca="1" si="71"/>
        <v>48612.283829987311</v>
      </c>
      <c r="M76" s="82">
        <f t="shared" ca="1" si="71"/>
        <v>57653.954849855705</v>
      </c>
      <c r="N76" s="82">
        <f t="shared" ca="1" si="71"/>
        <v>66484.564042278245</v>
      </c>
      <c r="O76" s="82">
        <f t="shared" ca="1" si="71"/>
        <v>75110.520278191849</v>
      </c>
      <c r="P76" s="82">
        <f t="shared" ca="1" si="71"/>
        <v>83538.047069584936</v>
      </c>
      <c r="Q76" s="82">
        <f t="shared" ca="1" si="71"/>
        <v>91773.187974837841</v>
      </c>
      <c r="R76" s="82">
        <f t="shared" ca="1" si="71"/>
        <v>81510.424567895971</v>
      </c>
      <c r="S76" s="82">
        <f t="shared" ca="1" si="71"/>
        <v>71508.627810331498</v>
      </c>
      <c r="T76" s="82">
        <f t="shared" ca="1" si="71"/>
        <v>61760.006987825953</v>
      </c>
      <c r="U76" s="82">
        <f t="shared" ca="1" si="71"/>
        <v>52256.997351350292</v>
      </c>
      <c r="V76" s="82">
        <f t="shared" ca="1" si="71"/>
        <v>42992.25353090823</v>
      </c>
      <c r="W76" s="82">
        <f t="shared" ca="1" si="71"/>
        <v>33958.643141088192</v>
      </c>
      <c r="X76" s="82">
        <f t="shared" ca="1" si="71"/>
        <v>25149.240572837734</v>
      </c>
      <c r="Y76" s="82">
        <f ca="1">SUM(Y77:Y86)</f>
        <v>16557.320966036004</v>
      </c>
      <c r="Z76" s="82">
        <f t="shared" ca="1" si="71"/>
        <v>8176.3543575983012</v>
      </c>
      <c r="AA76" s="82">
        <f t="shared" si="71"/>
        <v>0</v>
      </c>
      <c r="AB76" s="82">
        <f t="shared" si="71"/>
        <v>0</v>
      </c>
      <c r="AC76" s="82">
        <f t="shared" si="71"/>
        <v>0</v>
      </c>
      <c r="AD76" s="82">
        <f t="shared" si="71"/>
        <v>0</v>
      </c>
      <c r="AE76" s="82">
        <f t="shared" si="71"/>
        <v>0</v>
      </c>
      <c r="AF76" s="83">
        <f t="shared" si="71"/>
        <v>0</v>
      </c>
      <c r="AH76" s="2"/>
      <c r="AI76" s="404" t="s">
        <v>288</v>
      </c>
      <c r="AJ76" s="404"/>
      <c r="AK76" s="51"/>
      <c r="AL76" s="52" t="s">
        <v>79</v>
      </c>
      <c r="AM76" s="405">
        <v>0</v>
      </c>
      <c r="AN76" s="82">
        <f t="shared" ref="AN76:BL76" si="72">SUM(AN77:AN86)</f>
        <v>55348</v>
      </c>
      <c r="AO76" s="82">
        <f t="shared" si="72"/>
        <v>109803.44633009708</v>
      </c>
      <c r="AP76" s="82">
        <f t="shared" si="72"/>
        <v>163401.68951112338</v>
      </c>
      <c r="AQ76" s="82">
        <f t="shared" si="72"/>
        <v>216177.17203664663</v>
      </c>
      <c r="AR76" s="82">
        <f t="shared" si="72"/>
        <v>268163.45640116057</v>
      </c>
      <c r="AS76" s="82">
        <f t="shared" si="72"/>
        <v>319393.25233247032</v>
      </c>
      <c r="AT76" s="82">
        <f t="shared" si="72"/>
        <v>369898.44325171929</v>
      </c>
      <c r="AU76" s="82">
        <f t="shared" si="72"/>
        <v>419710.11198382353</v>
      </c>
      <c r="AV76" s="82">
        <f t="shared" si="72"/>
        <v>468858.56574042083</v>
      </c>
      <c r="AW76" s="82">
        <f t="shared" si="72"/>
        <v>517373.36039680138</v>
      </c>
      <c r="AX76" s="82">
        <f t="shared" si="72"/>
        <v>502304.23339495278</v>
      </c>
      <c r="AY76" s="82">
        <f t="shared" si="72"/>
        <v>487674.01300480851</v>
      </c>
      <c r="AZ76" s="82">
        <f t="shared" si="72"/>
        <v>473469.91553864907</v>
      </c>
      <c r="BA76" s="82">
        <f t="shared" si="72"/>
        <v>459679.52964917372</v>
      </c>
      <c r="BB76" s="82">
        <f t="shared" si="72"/>
        <v>446290.80548463471</v>
      </c>
      <c r="BC76" s="82">
        <f t="shared" si="72"/>
        <v>397766.26909532608</v>
      </c>
      <c r="BD76" s="82">
        <f t="shared" si="72"/>
        <v>350193.23364151776</v>
      </c>
      <c r="BE76" s="82">
        <f t="shared" si="72"/>
        <v>303537.98164774338</v>
      </c>
      <c r="BF76" s="82">
        <f t="shared" si="72"/>
        <v>257767.69965080085</v>
      </c>
      <c r="BG76" s="82">
        <f t="shared" si="72"/>
        <v>212850.45085464648</v>
      </c>
      <c r="BH76" s="82">
        <f t="shared" si="72"/>
        <v>168755.1485685581</v>
      </c>
      <c r="BI76" s="82">
        <f t="shared" si="72"/>
        <v>125451.53040558161</v>
      </c>
      <c r="BJ76" s="82">
        <f t="shared" si="72"/>
        <v>82910.133218943753</v>
      </c>
      <c r="BK76" s="82">
        <f t="shared" si="72"/>
        <v>41102.268754760473</v>
      </c>
      <c r="BL76" s="83">
        <f t="shared" si="72"/>
        <v>0</v>
      </c>
    </row>
    <row r="77" spans="2:64" ht="15" hidden="1" customHeight="1" outlineLevel="1" x14ac:dyDescent="0.25">
      <c r="B77" s="4"/>
      <c r="C77" s="51"/>
      <c r="D77" s="51" t="s">
        <v>26</v>
      </c>
      <c r="E77" s="51"/>
      <c r="F77" s="52" t="s">
        <v>19</v>
      </c>
      <c r="G77" s="405">
        <v>0</v>
      </c>
      <c r="H77" s="82">
        <f>H75</f>
        <v>10200</v>
      </c>
      <c r="I77" s="82">
        <f>IF('Customer Sector'!$F$29+$G$15&gt;=I$15,H77/(1+'Customer Sector'!$L$30),0)</f>
        <v>9902.9126213592226</v>
      </c>
      <c r="J77" s="82">
        <f>IF('Customer Sector'!$F$29+$G$15&gt;=J$15,I77/(1+'Customer Sector'!$L$30),0)</f>
        <v>9614.4782731642936</v>
      </c>
      <c r="K77" s="82">
        <f>IF('Customer Sector'!$F$29+$G$15&gt;=K$15,J77/(1+'Customer Sector'!$L$30),0)</f>
        <v>9334.4449254022256</v>
      </c>
      <c r="L77" s="82">
        <f>IF('Customer Sector'!$F$29+$G$15&gt;=L$15,K77/(1+'Customer Sector'!$L$30),0)</f>
        <v>9062.5678887400245</v>
      </c>
      <c r="M77" s="82">
        <f>IF('Customer Sector'!$F$29+$G$15&gt;=M$15,L77/(1+'Customer Sector'!$L$30),0)</f>
        <v>8798.6096007184697</v>
      </c>
      <c r="N77" s="82">
        <f>IF('Customer Sector'!$F$29+$G$15&gt;=N$15,M77/(1+'Customer Sector'!$L$30),0)</f>
        <v>8542.339418173271</v>
      </c>
      <c r="O77" s="82">
        <f>IF('Customer Sector'!$F$29+$G$15&gt;=O$15,N77/(1+'Customer Sector'!$L$30),0)</f>
        <v>8293.5334157022044</v>
      </c>
      <c r="P77" s="82">
        <f>IF('Customer Sector'!$F$29+$G$15&gt;=P$15,O77/(1+'Customer Sector'!$L$30),0)</f>
        <v>8051.9741900021399</v>
      </c>
      <c r="Q77" s="82">
        <f>IF('Customer Sector'!$F$29+$G$15&gt;=Q$15,P77/(1+'Customer Sector'!$L$30),0)</f>
        <v>7817.4506699049898</v>
      </c>
      <c r="R77" s="82">
        <f>IF('Customer Sector'!$F$29+$G$15&gt;=R$15,Q77/(1+'Customer Sector'!$L$30),0)</f>
        <v>0</v>
      </c>
      <c r="S77" s="82">
        <f>IF('Customer Sector'!$F$29+$G$15&gt;=S$15,R77/(1+'Customer Sector'!$L$30),0)</f>
        <v>0</v>
      </c>
      <c r="T77" s="82">
        <f>IF('Customer Sector'!$F$29+$G$15&gt;=T$15,S77/(1+'Customer Sector'!$L$30),0)</f>
        <v>0</v>
      </c>
      <c r="U77" s="82">
        <f>IF('Customer Sector'!$F$29+$G$15&gt;=U$15,T77/(1+'Customer Sector'!$L$30),0)</f>
        <v>0</v>
      </c>
      <c r="V77" s="82">
        <f>IF('Customer Sector'!$F$29+$G$15&gt;=V$15,U77/(1+'Customer Sector'!$L$30),0)</f>
        <v>0</v>
      </c>
      <c r="W77" s="82">
        <f>IF('Customer Sector'!$F$29+$G$15&gt;=W$15,V77/(1+'Customer Sector'!$L$30),0)</f>
        <v>0</v>
      </c>
      <c r="X77" s="82">
        <f>IF('Customer Sector'!$F$29+$G$15&gt;=X$15,W77/(1+'Customer Sector'!$L$30),0)</f>
        <v>0</v>
      </c>
      <c r="Y77" s="82">
        <f>IF('Customer Sector'!$F$29+$G$15&gt;=Y$15,X77/(1+'Customer Sector'!$L$30),0)</f>
        <v>0</v>
      </c>
      <c r="Z77" s="82">
        <f>IF('Customer Sector'!$F$29+$G$15&gt;=Z$15,Y77/(1+'Customer Sector'!$L$30),0)</f>
        <v>0</v>
      </c>
      <c r="AA77" s="82">
        <f>IF('Customer Sector'!$F$29+$G$15&gt;=AA$15,Z77/(1+'Customer Sector'!$L$30),0)</f>
        <v>0</v>
      </c>
      <c r="AB77" s="82">
        <f>IF('Customer Sector'!$F$29+$G$15&gt;=AB$15,AA77/(1+'Customer Sector'!$L$30),0)</f>
        <v>0</v>
      </c>
      <c r="AC77" s="82">
        <f>IF('Customer Sector'!$F$29+$G$15&gt;=AC$15,AB77/(1+'Customer Sector'!$L$30),0)</f>
        <v>0</v>
      </c>
      <c r="AD77" s="82">
        <f>IF('Customer Sector'!$F$29+$G$15&gt;=AD$15,AC77/(1+'Customer Sector'!$L$30),0)</f>
        <v>0</v>
      </c>
      <c r="AE77" s="82">
        <f>IF('Customer Sector'!$F$29+$G$15&gt;=AE$15,AD77/(1+'Customer Sector'!$L$30),0)</f>
        <v>0</v>
      </c>
      <c r="AF77" s="82">
        <f>IF('Customer Sector'!$F$29+$G$15&gt;=AF$15,AE77/(1+'Customer Sector'!$L$30),0)</f>
        <v>0</v>
      </c>
      <c r="AH77" s="4"/>
      <c r="AI77" s="51"/>
      <c r="AJ77" s="430" t="s">
        <v>26</v>
      </c>
      <c r="AK77" s="51"/>
      <c r="AL77" s="52" t="s">
        <v>19</v>
      </c>
      <c r="AM77" s="405">
        <v>0</v>
      </c>
      <c r="AN77" s="82">
        <f>AN75</f>
        <v>55348</v>
      </c>
      <c r="AO77" s="82">
        <f>IF('Customer Sector'!$L$29+$G$15&gt;=AO$15,AN77/(1+'Customer Sector'!$L$30),0)</f>
        <v>53735.922330097084</v>
      </c>
      <c r="AP77" s="82">
        <f>IF('Customer Sector'!$L$29+$G$15&gt;=AP$15,AO77/(1+'Customer Sector'!$L$30),0)</f>
        <v>52170.798378735031</v>
      </c>
      <c r="AQ77" s="82">
        <f>IF('Customer Sector'!$L$29+$G$15&gt;=AQ$15,AP77/(1+'Customer Sector'!$L$30),0)</f>
        <v>50651.260561878669</v>
      </c>
      <c r="AR77" s="82">
        <f>IF('Customer Sector'!$L$29+$G$15&gt;=AR$15,AQ77/(1+'Customer Sector'!$L$30),0)</f>
        <v>49175.981128037543</v>
      </c>
      <c r="AS77" s="82">
        <f>IF('Customer Sector'!$L$29+$G$15&gt;=AS$15,AR77/(1+'Customer Sector'!$L$30),0)</f>
        <v>47743.670998094698</v>
      </c>
      <c r="AT77" s="82">
        <f>IF('Customer Sector'!$L$29+$G$15&gt;=AT$15,AS77/(1+'Customer Sector'!$L$30),0)</f>
        <v>46353.078638926891</v>
      </c>
      <c r="AU77" s="82">
        <f>IF('Customer Sector'!$L$29+$G$15&gt;=AU$15,AT77/(1+'Customer Sector'!$L$30),0)</f>
        <v>45002.988969831931</v>
      </c>
      <c r="AV77" s="82">
        <f>IF('Customer Sector'!$L$29+$G$15&gt;=AV$15,AU77/(1+'Customer Sector'!$L$30),0)</f>
        <v>43692.222300807698</v>
      </c>
      <c r="AW77" s="82">
        <f>IF('Customer Sector'!$L$29+$G$15&gt;=AW$15,AV77/(1+'Customer Sector'!$L$30),0)</f>
        <v>42419.633301755042</v>
      </c>
      <c r="AX77" s="82">
        <f>IF('Customer Sector'!$L$29+$G$15&gt;=AX$15,AW77/(1+'Customer Sector'!$L$30),0)</f>
        <v>41184.110001703921</v>
      </c>
      <c r="AY77" s="82">
        <f>IF('Customer Sector'!$L$29+$G$15&gt;=AY$15,AX77/(1+'Customer Sector'!$L$30),0)</f>
        <v>39984.572817188273</v>
      </c>
      <c r="AZ77" s="82">
        <f>IF('Customer Sector'!$L$29+$G$15&gt;=AZ$15,AY77/(1+'Customer Sector'!$L$30),0)</f>
        <v>38819.973608920649</v>
      </c>
      <c r="BA77" s="82">
        <f>IF('Customer Sector'!$L$29+$G$15&gt;=BA$15,AZ77/(1+'Customer Sector'!$L$30),0)</f>
        <v>37689.294765942373</v>
      </c>
      <c r="BB77" s="82">
        <f>IF('Customer Sector'!$L$29+$G$15&gt;=BB$15,BA77/(1+'Customer Sector'!$L$30),0)</f>
        <v>36591.548316448905</v>
      </c>
      <c r="BC77" s="82">
        <f>IF('Customer Sector'!$L$29+$G$15&gt;=BC$15,BB77/(1+'Customer Sector'!$L$30),0)</f>
        <v>0</v>
      </c>
      <c r="BD77" s="82">
        <f>IF('Customer Sector'!$L$29+$G$15&gt;=BD$15,BC77/(1+'Customer Sector'!$L$30),0)</f>
        <v>0</v>
      </c>
      <c r="BE77" s="82">
        <f>IF('Customer Sector'!$L$29+$G$15&gt;=BE$15,BD77/(1+'Customer Sector'!$L$30),0)</f>
        <v>0</v>
      </c>
      <c r="BF77" s="82">
        <f>IF('Customer Sector'!$L$29+$G$15&gt;=BF$15,BE77/(1+'Customer Sector'!$L$30),0)</f>
        <v>0</v>
      </c>
      <c r="BG77" s="82">
        <f>IF('Customer Sector'!$L$29+$G$15&gt;=BG$15,BF77/(1+'Customer Sector'!$L$30),0)</f>
        <v>0</v>
      </c>
      <c r="BH77" s="82">
        <f>IF('Customer Sector'!$L$29+$G$15&gt;=BH$15,BG77/(1+'Customer Sector'!$L$30),0)</f>
        <v>0</v>
      </c>
      <c r="BI77" s="82">
        <f>IF('Customer Sector'!$L$29+$G$15&gt;=BI$15,BH77/(1+'Customer Sector'!$L$30),0)</f>
        <v>0</v>
      </c>
      <c r="BJ77" s="82">
        <f>IF('Customer Sector'!$L$29+$G$15&gt;=BJ$15,BI77/(1+'Customer Sector'!$L$30),0)</f>
        <v>0</v>
      </c>
      <c r="BK77" s="82">
        <f>IF('Customer Sector'!$L$29+$G$15&gt;=BK$15,BJ77/(1+'Customer Sector'!$L$30),0)</f>
        <v>0</v>
      </c>
      <c r="BL77" s="83">
        <f>IF('Customer Sector'!$L$29+$G$15&gt;=BL$15,BK77/(1+'Customer Sector'!$L$30),0)</f>
        <v>0</v>
      </c>
    </row>
    <row r="78" spans="2:64" ht="15" hidden="1" customHeight="1" outlineLevel="1" x14ac:dyDescent="0.25">
      <c r="B78" s="4"/>
      <c r="C78" s="51"/>
      <c r="D78" s="51" t="s">
        <v>27</v>
      </c>
      <c r="E78" s="51"/>
      <c r="F78" s="52" t="s">
        <v>19</v>
      </c>
      <c r="G78" s="405">
        <v>0</v>
      </c>
      <c r="H78" s="405">
        <v>0</v>
      </c>
      <c r="I78" s="82">
        <f ca="1">I75</f>
        <v>10250.999999999998</v>
      </c>
      <c r="J78" s="82">
        <f ca="1">IF('Customer Sector'!$F$29+$H$15&gt;=J$15,I78/(1+'Customer Sector'!$L$30),0)</f>
        <v>9952.4271844660179</v>
      </c>
      <c r="K78" s="82">
        <f ca="1">IF('Customer Sector'!$F$29+$H$15&gt;=K$15,J78/(1+'Customer Sector'!$L$30),0)</f>
        <v>9662.5506645301139</v>
      </c>
      <c r="L78" s="82">
        <f ca="1">IF('Customer Sector'!$F$29+$H$15&gt;=L$15,K78/(1+'Customer Sector'!$L$30),0)</f>
        <v>9381.1171500292367</v>
      </c>
      <c r="M78" s="82">
        <f ca="1">IF('Customer Sector'!$F$29+$H$15&gt;=M$15,L78/(1+'Customer Sector'!$L$30),0)</f>
        <v>9107.8807281837253</v>
      </c>
      <c r="N78" s="82">
        <f ca="1">IF('Customer Sector'!$F$29+$H$15&gt;=N$15,M78/(1+'Customer Sector'!$L$30),0)</f>
        <v>8842.6026487220624</v>
      </c>
      <c r="O78" s="82">
        <f ca="1">IF('Customer Sector'!$F$29+$H$15&gt;=O$15,N78/(1+'Customer Sector'!$L$30),0)</f>
        <v>8585.0511152641375</v>
      </c>
      <c r="P78" s="82">
        <f ca="1">IF('Customer Sector'!$F$29+$H$15&gt;=P$15,O78/(1+'Customer Sector'!$L$30),0)</f>
        <v>8335.0010827807164</v>
      </c>
      <c r="Q78" s="82">
        <f ca="1">IF('Customer Sector'!$F$29+$H$15&gt;=Q$15,P78/(1+'Customer Sector'!$L$30),0)</f>
        <v>8092.2340609521516</v>
      </c>
      <c r="R78" s="82">
        <f ca="1">IF('Customer Sector'!$F$29+$H$15&gt;=R$15,Q78/(1+'Customer Sector'!$L$30),0)</f>
        <v>7856.5379232545156</v>
      </c>
      <c r="S78" s="82">
        <f>IF('Customer Sector'!$F$29+$H$15&gt;=S$15,R78/(1+'Customer Sector'!$L$30),0)</f>
        <v>0</v>
      </c>
      <c r="T78" s="82">
        <f>IF('Customer Sector'!$F$29+$H$15&gt;=T$15,S78/(1+'Customer Sector'!$L$30),0)</f>
        <v>0</v>
      </c>
      <c r="U78" s="82">
        <f>IF('Customer Sector'!$F$29+$H$15&gt;=U$15,T78/(1+'Customer Sector'!$L$30),0)</f>
        <v>0</v>
      </c>
      <c r="V78" s="82">
        <f>IF('Customer Sector'!$F$29+$H$15&gt;=V$15,U78/(1+'Customer Sector'!$L$30),0)</f>
        <v>0</v>
      </c>
      <c r="W78" s="82">
        <f>IF('Customer Sector'!$F$29+$H$15&gt;=W$15,V78/(1+'Customer Sector'!$L$30),0)</f>
        <v>0</v>
      </c>
      <c r="X78" s="82">
        <f>IF('Customer Sector'!$F$29+$H$15&gt;=X$15,W78/(1+'Customer Sector'!$L$30),0)</f>
        <v>0</v>
      </c>
      <c r="Y78" s="82">
        <f>IF('Customer Sector'!$F$29+$H$15&gt;=Y$15,X78/(1+'Customer Sector'!$L$30),0)</f>
        <v>0</v>
      </c>
      <c r="Z78" s="82">
        <f>IF('Customer Sector'!$F$29+$H$15&gt;=Z$15,Y78/(1+'Customer Sector'!$L$30),0)</f>
        <v>0</v>
      </c>
      <c r="AA78" s="82">
        <f>IF('Customer Sector'!$F$29+$H$15&gt;=AA$15,Z78/(1+'Customer Sector'!$L$30),0)</f>
        <v>0</v>
      </c>
      <c r="AB78" s="82">
        <f>IF('Customer Sector'!$F$29+$H$15&gt;=AB$15,AA78/(1+'Customer Sector'!$L$30),0)</f>
        <v>0</v>
      </c>
      <c r="AC78" s="82">
        <f>IF('Customer Sector'!$F$29+$H$15&gt;=AC$15,AB78/(1+'Customer Sector'!$L$30),0)</f>
        <v>0</v>
      </c>
      <c r="AD78" s="82">
        <f>IF('Customer Sector'!$F$29+$H$15&gt;=AD$15,AC78/(1+'Customer Sector'!$L$30),0)</f>
        <v>0</v>
      </c>
      <c r="AE78" s="82">
        <f>IF('Customer Sector'!$F$29+$H$15&gt;=AE$15,AD78/(1+'Customer Sector'!$L$30),0)</f>
        <v>0</v>
      </c>
      <c r="AF78" s="82">
        <f>IF('Customer Sector'!$F$29+$H$15&gt;=AF$15,AE78/(1+'Customer Sector'!$L$30),0)</f>
        <v>0</v>
      </c>
      <c r="AH78" s="4"/>
      <c r="AI78" s="51"/>
      <c r="AJ78" s="430" t="s">
        <v>27</v>
      </c>
      <c r="AK78" s="51"/>
      <c r="AL78" s="52" t="s">
        <v>19</v>
      </c>
      <c r="AM78" s="405">
        <v>0</v>
      </c>
      <c r="AN78" s="405">
        <v>0</v>
      </c>
      <c r="AO78" s="82">
        <f>AO75</f>
        <v>56067.523999999998</v>
      </c>
      <c r="AP78" s="82">
        <f>IF('Customer Sector'!$L$29+$H$15&gt;=AP$15,AO78/(1+'Customer Sector'!$L$30),0)</f>
        <v>54434.489320388348</v>
      </c>
      <c r="AQ78" s="82">
        <f>IF('Customer Sector'!$L$29+$H$15&gt;=AQ$15,AP78/(1+'Customer Sector'!$L$30),0)</f>
        <v>52849.018757658589</v>
      </c>
      <c r="AR78" s="82">
        <f>IF('Customer Sector'!$L$29+$H$15&gt;=AR$15,AQ78/(1+'Customer Sector'!$L$30),0)</f>
        <v>51309.726949183096</v>
      </c>
      <c r="AS78" s="82">
        <f>IF('Customer Sector'!$L$29+$H$15&gt;=AS$15,AR78/(1+'Customer Sector'!$L$30),0)</f>
        <v>49815.268882702032</v>
      </c>
      <c r="AT78" s="82">
        <f>IF('Customer Sector'!$L$29+$H$15&gt;=AT$15,AS78/(1+'Customer Sector'!$L$30),0)</f>
        <v>48364.338721069929</v>
      </c>
      <c r="AU78" s="82">
        <f>IF('Customer Sector'!$L$29+$H$15&gt;=AU$15,AT78/(1+'Customer Sector'!$L$30),0)</f>
        <v>46955.668661232943</v>
      </c>
      <c r="AV78" s="82">
        <f>IF('Customer Sector'!$L$29+$H$15&gt;=AV$15,AU78/(1+'Customer Sector'!$L$30),0)</f>
        <v>45588.027826439749</v>
      </c>
      <c r="AW78" s="82">
        <f>IF('Customer Sector'!$L$29+$H$15&gt;=AW$15,AV78/(1+'Customer Sector'!$L$30),0)</f>
        <v>44260.221190718199</v>
      </c>
      <c r="AX78" s="82">
        <f>IF('Customer Sector'!$L$29+$H$15&gt;=AX$15,AW78/(1+'Customer Sector'!$L$30),0)</f>
        <v>42971.08853467786</v>
      </c>
      <c r="AY78" s="82">
        <f>IF('Customer Sector'!$L$29+$H$15&gt;=AY$15,AX78/(1+'Customer Sector'!$L$30),0)</f>
        <v>41719.50343172608</v>
      </c>
      <c r="AZ78" s="82">
        <f>IF('Customer Sector'!$L$29+$H$15&gt;=AZ$15,AY78/(1+'Customer Sector'!$L$30),0)</f>
        <v>40504.372263811725</v>
      </c>
      <c r="BA78" s="82">
        <f>IF('Customer Sector'!$L$29+$H$15&gt;=BA$15,AZ78/(1+'Customer Sector'!$L$30),0)</f>
        <v>39324.633265836623</v>
      </c>
      <c r="BB78" s="82">
        <f>IF('Customer Sector'!$L$29+$H$15&gt;=BB$15,BA78/(1+'Customer Sector'!$L$30),0)</f>
        <v>38179.255597899632</v>
      </c>
      <c r="BC78" s="82">
        <f>IF('Customer Sector'!$L$29+$H$15&gt;=BC$15,BB78/(1+'Customer Sector'!$L$30),0)</f>
        <v>37067.238444562747</v>
      </c>
      <c r="BD78" s="82">
        <f>IF('Customer Sector'!$L$29+$H$15&gt;=BD$15,BC78/(1+'Customer Sector'!$L$30),0)</f>
        <v>0</v>
      </c>
      <c r="BE78" s="82">
        <f>IF('Customer Sector'!$L$29+$H$15&gt;=BE$15,BD78/(1+'Customer Sector'!$L$30),0)</f>
        <v>0</v>
      </c>
      <c r="BF78" s="82">
        <f>IF('Customer Sector'!$L$29+$H$15&gt;=BF$15,BE78/(1+'Customer Sector'!$L$30),0)</f>
        <v>0</v>
      </c>
      <c r="BG78" s="82">
        <f>IF('Customer Sector'!$L$29+$H$15&gt;=BG$15,BF78/(1+'Customer Sector'!$L$30),0)</f>
        <v>0</v>
      </c>
      <c r="BH78" s="82">
        <f>IF('Customer Sector'!$L$29+$H$15&gt;=BH$15,BG78/(1+'Customer Sector'!$L$30),0)</f>
        <v>0</v>
      </c>
      <c r="BI78" s="82">
        <f>IF('Customer Sector'!$L$29+$H$15&gt;=BI$15,BH78/(1+'Customer Sector'!$L$30),0)</f>
        <v>0</v>
      </c>
      <c r="BJ78" s="82">
        <f>IF('Customer Sector'!$L$29+$H$15&gt;=BJ$15,BI78/(1+'Customer Sector'!$L$30),0)</f>
        <v>0</v>
      </c>
      <c r="BK78" s="82">
        <f>IF('Customer Sector'!$L$29+$H$15&gt;=BK$15,BJ78/(1+'Customer Sector'!$L$30),0)</f>
        <v>0</v>
      </c>
      <c r="BL78" s="83">
        <f>IF('Customer Sector'!$L$29+$H$15&gt;=BL$15,BK78/(1+'Customer Sector'!$L$30),0)</f>
        <v>0</v>
      </c>
    </row>
    <row r="79" spans="2:64" ht="15" hidden="1" customHeight="1" outlineLevel="1" x14ac:dyDescent="0.25">
      <c r="B79" s="4"/>
      <c r="C79" s="51"/>
      <c r="D79" s="51" t="s">
        <v>28</v>
      </c>
      <c r="E79" s="51"/>
      <c r="F79" s="52" t="s">
        <v>19</v>
      </c>
      <c r="G79" s="405">
        <v>0</v>
      </c>
      <c r="H79" s="405">
        <v>0</v>
      </c>
      <c r="I79" s="405">
        <v>0</v>
      </c>
      <c r="J79" s="82">
        <f ca="1">J75</f>
        <v>10302.254999999997</v>
      </c>
      <c r="K79" s="82">
        <f ca="1">IF('Customer Sector'!$F$29+$I$15&gt;=K$15,J79/(1+'Customer Sector'!$L$30),0)</f>
        <v>10002.189320388346</v>
      </c>
      <c r="L79" s="82">
        <f ca="1">IF('Customer Sector'!$F$29+$I$15&gt;=L$15,K79/(1+'Customer Sector'!$L$30),0)</f>
        <v>9710.8634178527627</v>
      </c>
      <c r="M79" s="82">
        <f ca="1">IF('Customer Sector'!$F$29+$I$15&gt;=M$15,L79/(1+'Customer Sector'!$L$30),0)</f>
        <v>9428.022735779381</v>
      </c>
      <c r="N79" s="82">
        <f ca="1">IF('Customer Sector'!$F$29+$I$15&gt;=N$15,M79/(1+'Customer Sector'!$L$30),0)</f>
        <v>9153.4201318246414</v>
      </c>
      <c r="O79" s="82">
        <f ca="1">IF('Customer Sector'!$F$29+$I$15&gt;=O$15,N79/(1+'Customer Sector'!$L$30),0)</f>
        <v>8886.8156619656711</v>
      </c>
      <c r="P79" s="82">
        <f ca="1">IF('Customer Sector'!$F$29+$I$15&gt;=P$15,O79/(1+'Customer Sector'!$L$30),0)</f>
        <v>8627.9763708404571</v>
      </c>
      <c r="Q79" s="82">
        <f ca="1">IF('Customer Sector'!$F$29+$I$15&gt;=Q$15,P79/(1+'Customer Sector'!$L$30),0)</f>
        <v>8376.6760881946175</v>
      </c>
      <c r="R79" s="82">
        <f ca="1">IF('Customer Sector'!$F$29+$I$15&gt;=R$15,Q79/(1+'Customer Sector'!$L$30),0)</f>
        <v>8132.6952312569101</v>
      </c>
      <c r="S79" s="82">
        <f ca="1">IF('Customer Sector'!$F$29+$I$15&gt;=S$15,R79/(1+'Customer Sector'!$L$30),0)</f>
        <v>7895.8206128707861</v>
      </c>
      <c r="T79" s="82">
        <f>IF('Customer Sector'!$F$29+$I$15&gt;=T$15,S79/(1+'Customer Sector'!$L$30),0)</f>
        <v>0</v>
      </c>
      <c r="U79" s="82">
        <f>IF('Customer Sector'!$F$29+$I$15&gt;=U$15,T79/(1+'Customer Sector'!$L$30),0)</f>
        <v>0</v>
      </c>
      <c r="V79" s="82">
        <f>IF('Customer Sector'!$F$29+$I$15&gt;=V$15,U79/(1+'Customer Sector'!$L$30),0)</f>
        <v>0</v>
      </c>
      <c r="W79" s="82">
        <f>IF('Customer Sector'!$F$29+$I$15&gt;=W$15,V79/(1+'Customer Sector'!$L$30),0)</f>
        <v>0</v>
      </c>
      <c r="X79" s="82">
        <f>IF('Customer Sector'!$F$29+$I$15&gt;=X$15,W79/(1+'Customer Sector'!$L$30),0)</f>
        <v>0</v>
      </c>
      <c r="Y79" s="82">
        <f>IF('Customer Sector'!$F$29+$I$15&gt;=Y$15,X79/(1+'Customer Sector'!$L$30),0)</f>
        <v>0</v>
      </c>
      <c r="Z79" s="82">
        <f>IF('Customer Sector'!$F$29+$I$15&gt;=Z$15,Y79/(1+'Customer Sector'!$L$30),0)</f>
        <v>0</v>
      </c>
      <c r="AA79" s="82">
        <f>IF('Customer Sector'!$F$29+$I$15&gt;=AA$15,Z79/(1+'Customer Sector'!$L$30),0)</f>
        <v>0</v>
      </c>
      <c r="AB79" s="82">
        <f>IF('Customer Sector'!$F$29+$I$15&gt;=AB$15,AA79/(1+'Customer Sector'!$L$30),0)</f>
        <v>0</v>
      </c>
      <c r="AC79" s="82">
        <f>IF('Customer Sector'!$F$29+$I$15&gt;=AC$15,AB79/(1+'Customer Sector'!$L$30),0)</f>
        <v>0</v>
      </c>
      <c r="AD79" s="82">
        <f>IF('Customer Sector'!$F$29+$I$15&gt;=AD$15,AC79/(1+'Customer Sector'!$L$30),0)</f>
        <v>0</v>
      </c>
      <c r="AE79" s="82">
        <f>IF('Customer Sector'!$F$29+$I$15&gt;=AE$15,AD79/(1+'Customer Sector'!$L$30),0)</f>
        <v>0</v>
      </c>
      <c r="AF79" s="82">
        <f>IF('Customer Sector'!$F$29+$I$15&gt;=AF$15,AE79/(1+'Customer Sector'!$L$30),0)</f>
        <v>0</v>
      </c>
      <c r="AH79" s="4"/>
      <c r="AI79" s="51"/>
      <c r="AJ79" s="430" t="s">
        <v>28</v>
      </c>
      <c r="AK79" s="51"/>
      <c r="AL79" s="52" t="s">
        <v>19</v>
      </c>
      <c r="AM79" s="405">
        <v>0</v>
      </c>
      <c r="AN79" s="405">
        <v>0</v>
      </c>
      <c r="AO79" s="405">
        <v>0</v>
      </c>
      <c r="AP79" s="82">
        <f>AP75</f>
        <v>56796.401811999989</v>
      </c>
      <c r="AQ79" s="82">
        <f>IF('Customer Sector'!$L$29+$I$15&gt;=AQ$15,AP79/(1+'Customer Sector'!$L$30),0)</f>
        <v>55142.137681553388</v>
      </c>
      <c r="AR79" s="82">
        <f>IF('Customer Sector'!$L$29+$I$15&gt;=AR$15,AQ79/(1+'Customer Sector'!$L$30),0)</f>
        <v>53536.056001508143</v>
      </c>
      <c r="AS79" s="82">
        <f>IF('Customer Sector'!$L$29+$I$15&gt;=AS$15,AR79/(1+'Customer Sector'!$L$30),0)</f>
        <v>51976.753399522466</v>
      </c>
      <c r="AT79" s="82">
        <f>IF('Customer Sector'!$L$29+$I$15&gt;=AT$15,AS79/(1+'Customer Sector'!$L$30),0)</f>
        <v>50462.86737817715</v>
      </c>
      <c r="AU79" s="82">
        <f>IF('Customer Sector'!$L$29+$I$15&gt;=AU$15,AT79/(1+'Customer Sector'!$L$30),0)</f>
        <v>48993.075124443836</v>
      </c>
      <c r="AV79" s="82">
        <f>IF('Customer Sector'!$L$29+$I$15&gt;=AV$15,AU79/(1+'Customer Sector'!$L$30),0)</f>
        <v>47566.092353828964</v>
      </c>
      <c r="AW79" s="82">
        <f>IF('Customer Sector'!$L$29+$I$15&gt;=AW$15,AV79/(1+'Customer Sector'!$L$30),0)</f>
        <v>46180.67218818346</v>
      </c>
      <c r="AX79" s="82">
        <f>IF('Customer Sector'!$L$29+$I$15&gt;=AX$15,AW79/(1+'Customer Sector'!$L$30),0)</f>
        <v>44835.604066197535</v>
      </c>
      <c r="AY79" s="82">
        <f>IF('Customer Sector'!$L$29+$I$15&gt;=AY$15,AX79/(1+'Customer Sector'!$L$30),0)</f>
        <v>43529.71268562867</v>
      </c>
      <c r="AZ79" s="82">
        <f>IF('Customer Sector'!$L$29+$I$15&gt;=AZ$15,AY79/(1+'Customer Sector'!$L$30),0)</f>
        <v>42261.856976338517</v>
      </c>
      <c r="BA79" s="82">
        <f>IF('Customer Sector'!$L$29+$I$15&gt;=BA$15,AZ79/(1+'Customer Sector'!$L$30),0)</f>
        <v>41030.92910324128</v>
      </c>
      <c r="BB79" s="82">
        <f>IF('Customer Sector'!$L$29+$I$15&gt;=BB$15,BA79/(1+'Customer Sector'!$L$30),0)</f>
        <v>39835.853498292505</v>
      </c>
      <c r="BC79" s="82">
        <f>IF('Customer Sector'!$L$29+$I$15&gt;=BC$15,BB79/(1+'Customer Sector'!$L$30),0)</f>
        <v>38675.585920672333</v>
      </c>
      <c r="BD79" s="82">
        <f>IF('Customer Sector'!$L$29+$I$15&gt;=BD$15,BC79/(1+'Customer Sector'!$L$30),0)</f>
        <v>37549.112544342068</v>
      </c>
      <c r="BE79" s="82">
        <f>IF('Customer Sector'!$L$29+$I$15&gt;=BE$15,BD79/(1+'Customer Sector'!$L$30),0)</f>
        <v>0</v>
      </c>
      <c r="BF79" s="82">
        <f>IF('Customer Sector'!$L$29+$I$15&gt;=BF$15,BE79/(1+'Customer Sector'!$L$30),0)</f>
        <v>0</v>
      </c>
      <c r="BG79" s="82">
        <f>IF('Customer Sector'!$L$29+$I$15&gt;=BG$15,BF79/(1+'Customer Sector'!$L$30),0)</f>
        <v>0</v>
      </c>
      <c r="BH79" s="82">
        <f>IF('Customer Sector'!$L$29+$I$15&gt;=BH$15,BG79/(1+'Customer Sector'!$L$30),0)</f>
        <v>0</v>
      </c>
      <c r="BI79" s="82">
        <f>IF('Customer Sector'!$L$29+$I$15&gt;=BI$15,BH79/(1+'Customer Sector'!$L$30),0)</f>
        <v>0</v>
      </c>
      <c r="BJ79" s="82">
        <f>IF('Customer Sector'!$L$29+$I$15&gt;=BJ$15,BI79/(1+'Customer Sector'!$L$30),0)</f>
        <v>0</v>
      </c>
      <c r="BK79" s="82">
        <f>IF('Customer Sector'!$L$29+$I$15&gt;=BK$15,BJ79/(1+'Customer Sector'!$L$30),0)</f>
        <v>0</v>
      </c>
      <c r="BL79" s="83">
        <f>IF('Customer Sector'!$L$29+$I$15&gt;=BL$15,BK79/(1+'Customer Sector'!$L$30),0)</f>
        <v>0</v>
      </c>
    </row>
    <row r="80" spans="2:64" ht="15" hidden="1" customHeight="1" outlineLevel="1" x14ac:dyDescent="0.25">
      <c r="B80" s="4"/>
      <c r="C80" s="51"/>
      <c r="D80" s="51" t="s">
        <v>32</v>
      </c>
      <c r="E80" s="51"/>
      <c r="F80" s="52" t="s">
        <v>19</v>
      </c>
      <c r="G80" s="405">
        <v>0</v>
      </c>
      <c r="H80" s="405">
        <v>0</v>
      </c>
      <c r="I80" s="405">
        <v>0</v>
      </c>
      <c r="J80" s="405">
        <v>0</v>
      </c>
      <c r="K80" s="82">
        <f ca="1">K75</f>
        <v>10353.766274999996</v>
      </c>
      <c r="L80" s="82">
        <f ca="1">IF('Customer Sector'!$F$29+$J$15&gt;=L$15,K80/(1+'Customer Sector'!$L$30),0)</f>
        <v>10052.200266990287</v>
      </c>
      <c r="M80" s="82">
        <f ca="1">IF('Customer Sector'!$F$29+$J$15&gt;=M$15,L80/(1+'Customer Sector'!$L$30),0)</f>
        <v>9759.4177349420261</v>
      </c>
      <c r="N80" s="82">
        <f ca="1">IF('Customer Sector'!$F$29+$J$15&gt;=N$15,M80/(1+'Customer Sector'!$L$30),0)</f>
        <v>9475.1628494582783</v>
      </c>
      <c r="O80" s="82">
        <f ca="1">IF('Customer Sector'!$F$29+$J$15&gt;=O$15,N80/(1+'Customer Sector'!$L$30),0)</f>
        <v>9199.1872324837659</v>
      </c>
      <c r="P80" s="82">
        <f ca="1">IF('Customer Sector'!$F$29+$J$15&gt;=P$15,O80/(1+'Customer Sector'!$L$30),0)</f>
        <v>8931.2497402754998</v>
      </c>
      <c r="Q80" s="82">
        <f ca="1">IF('Customer Sector'!$F$29+$J$15&gt;=Q$15,P80/(1+'Customer Sector'!$L$30),0)</f>
        <v>8671.1162526946591</v>
      </c>
      <c r="R80" s="82">
        <f ca="1">IF('Customer Sector'!$F$29+$J$15&gt;=R$15,Q80/(1+'Customer Sector'!$L$30),0)</f>
        <v>8418.5594686355907</v>
      </c>
      <c r="S80" s="82">
        <f ca="1">IF('Customer Sector'!$F$29+$J$15&gt;=S$15,R80/(1+'Customer Sector'!$L$30),0)</f>
        <v>8173.3587074131947</v>
      </c>
      <c r="T80" s="82">
        <f ca="1">IF('Customer Sector'!$F$29+$J$15&gt;=T$15,S80/(1+'Customer Sector'!$L$30),0)</f>
        <v>7935.2997159351398</v>
      </c>
      <c r="U80" s="82">
        <f>IF('Customer Sector'!$F$29+$J$15&gt;=U$15,T80/(1+'Customer Sector'!$L$30),0)</f>
        <v>0</v>
      </c>
      <c r="V80" s="82">
        <f>IF('Customer Sector'!$F$29+$J$15&gt;=V$15,U80/(1+'Customer Sector'!$L$30),0)</f>
        <v>0</v>
      </c>
      <c r="W80" s="82">
        <f>IF('Customer Sector'!$F$29+$J$15&gt;=W$15,V80/(1+'Customer Sector'!$L$30),0)</f>
        <v>0</v>
      </c>
      <c r="X80" s="82">
        <f>IF('Customer Sector'!$F$29+$J$15&gt;=X$15,W80/(1+'Customer Sector'!$L$30),0)</f>
        <v>0</v>
      </c>
      <c r="Y80" s="82">
        <f>IF('Customer Sector'!$F$29+$J$15&gt;=Y$15,X80/(1+'Customer Sector'!$L$30),0)</f>
        <v>0</v>
      </c>
      <c r="Z80" s="82">
        <f>IF('Customer Sector'!$F$29+$J$15&gt;=Z$15,Y80/(1+'Customer Sector'!$L$30),0)</f>
        <v>0</v>
      </c>
      <c r="AA80" s="82">
        <f>IF('Customer Sector'!$F$29+$J$15&gt;=AA$15,Z80/(1+'Customer Sector'!$L$30),0)</f>
        <v>0</v>
      </c>
      <c r="AB80" s="82">
        <f>IF('Customer Sector'!$F$29+$J$15&gt;=AB$15,AA80/(1+'Customer Sector'!$L$30),0)</f>
        <v>0</v>
      </c>
      <c r="AC80" s="82">
        <f>IF('Customer Sector'!$F$29+$J$15&gt;=AC$15,AB80/(1+'Customer Sector'!$L$30),0)</f>
        <v>0</v>
      </c>
      <c r="AD80" s="82">
        <f>IF('Customer Sector'!$F$29+$J$15&gt;=AD$15,AC80/(1+'Customer Sector'!$L$30),0)</f>
        <v>0</v>
      </c>
      <c r="AE80" s="82">
        <f>IF('Customer Sector'!$F$29+$J$15&gt;=AE$15,AD80/(1+'Customer Sector'!$L$30),0)</f>
        <v>0</v>
      </c>
      <c r="AF80" s="82">
        <f>IF('Customer Sector'!$F$29+$J$15&gt;=AF$15,AE80/(1+'Customer Sector'!$L$30),0)</f>
        <v>0</v>
      </c>
      <c r="AH80" s="4"/>
      <c r="AI80" s="51"/>
      <c r="AJ80" s="430" t="s">
        <v>32</v>
      </c>
      <c r="AK80" s="51"/>
      <c r="AL80" s="52" t="s">
        <v>19</v>
      </c>
      <c r="AM80" s="405">
        <v>0</v>
      </c>
      <c r="AN80" s="405">
        <v>0</v>
      </c>
      <c r="AO80" s="405">
        <v>0</v>
      </c>
      <c r="AP80" s="405">
        <v>0</v>
      </c>
      <c r="AQ80" s="82">
        <f>AQ75</f>
        <v>57534.755035555987</v>
      </c>
      <c r="AR80" s="82">
        <f>IF('Customer Sector'!$L$29+$J$15&gt;=AR$15,AQ80/(1+'Customer Sector'!$L$30),0)</f>
        <v>55858.98547141358</v>
      </c>
      <c r="AS80" s="82">
        <f>IF('Customer Sector'!$L$29+$J$15&gt;=AS$15,AR80/(1+'Customer Sector'!$L$30),0)</f>
        <v>54232.024729527744</v>
      </c>
      <c r="AT80" s="82">
        <f>IF('Customer Sector'!$L$29+$J$15&gt;=AT$15,AS80/(1+'Customer Sector'!$L$30),0)</f>
        <v>52652.451193716253</v>
      </c>
      <c r="AU80" s="82">
        <f>IF('Customer Sector'!$L$29+$J$15&gt;=AU$15,AT80/(1+'Customer Sector'!$L$30),0)</f>
        <v>51118.884654093446</v>
      </c>
      <c r="AV80" s="82">
        <f>IF('Customer Sector'!$L$29+$J$15&gt;=AV$15,AU80/(1+'Customer Sector'!$L$30),0)</f>
        <v>49629.985101061597</v>
      </c>
      <c r="AW80" s="82">
        <f>IF('Customer Sector'!$L$29+$J$15&gt;=AW$15,AV80/(1+'Customer Sector'!$L$30),0)</f>
        <v>48184.451554428735</v>
      </c>
      <c r="AX80" s="82">
        <f>IF('Customer Sector'!$L$29+$J$15&gt;=AX$15,AW80/(1+'Customer Sector'!$L$30),0)</f>
        <v>46781.020926629841</v>
      </c>
      <c r="AY80" s="82">
        <f>IF('Customer Sector'!$L$29+$J$15&gt;=AY$15,AX80/(1+'Customer Sector'!$L$30),0)</f>
        <v>45418.466919058097</v>
      </c>
      <c r="AZ80" s="82">
        <f>IF('Customer Sector'!$L$29+$J$15&gt;=AZ$15,AY80/(1+'Customer Sector'!$L$30),0)</f>
        <v>44095.59895054184</v>
      </c>
      <c r="BA80" s="82">
        <f>IF('Customer Sector'!$L$29+$J$15&gt;=BA$15,AZ80/(1+'Customer Sector'!$L$30),0)</f>
        <v>42811.26111703091</v>
      </c>
      <c r="BB80" s="82">
        <f>IF('Customer Sector'!$L$29+$J$15&gt;=BB$15,BA80/(1+'Customer Sector'!$L$30),0)</f>
        <v>41564.331181583409</v>
      </c>
      <c r="BC80" s="82">
        <f>IF('Customer Sector'!$L$29+$J$15&gt;=BC$15,BB80/(1+'Customer Sector'!$L$30),0)</f>
        <v>40353.7195937703</v>
      </c>
      <c r="BD80" s="82">
        <f>IF('Customer Sector'!$L$29+$J$15&gt;=BD$15,BC80/(1+'Customer Sector'!$L$30),0)</f>
        <v>39178.368537641065</v>
      </c>
      <c r="BE80" s="82">
        <f>IF('Customer Sector'!$L$29+$J$15&gt;=BE$15,BD80/(1+'Customer Sector'!$L$30),0)</f>
        <v>38037.251007418512</v>
      </c>
      <c r="BF80" s="82">
        <f>IF('Customer Sector'!$L$29+$J$15&gt;=BF$15,BE80/(1+'Customer Sector'!$L$30),0)</f>
        <v>0</v>
      </c>
      <c r="BG80" s="82">
        <f>IF('Customer Sector'!$L$29+$J$15&gt;=BG$15,BF80/(1+'Customer Sector'!$L$30),0)</f>
        <v>0</v>
      </c>
      <c r="BH80" s="82">
        <f>IF('Customer Sector'!$L$29+$J$15&gt;=BH$15,BG80/(1+'Customer Sector'!$L$30),0)</f>
        <v>0</v>
      </c>
      <c r="BI80" s="82">
        <f>IF('Customer Sector'!$L$29+$J$15&gt;=BI$15,BH80/(1+'Customer Sector'!$L$30),0)</f>
        <v>0</v>
      </c>
      <c r="BJ80" s="82">
        <f>IF('Customer Sector'!$L$29+$J$15&gt;=BJ$15,BI80/(1+'Customer Sector'!$L$30),0)</f>
        <v>0</v>
      </c>
      <c r="BK80" s="82">
        <f>IF('Customer Sector'!$L$29+$J$15&gt;=BK$15,BJ80/(1+'Customer Sector'!$L$30),0)</f>
        <v>0</v>
      </c>
      <c r="BL80" s="83">
        <f>IF('Customer Sector'!$L$29+$J$15&gt;=BL$15,BK80/(1+'Customer Sector'!$L$30),0)</f>
        <v>0</v>
      </c>
    </row>
    <row r="81" spans="2:64" ht="15" hidden="1" customHeight="1" outlineLevel="1" x14ac:dyDescent="0.25">
      <c r="B81" s="4"/>
      <c r="C81" s="51"/>
      <c r="D81" s="51" t="s">
        <v>33</v>
      </c>
      <c r="E81" s="51"/>
      <c r="F81" s="52" t="s">
        <v>19</v>
      </c>
      <c r="G81" s="405">
        <v>0</v>
      </c>
      <c r="H81" s="405">
        <v>0</v>
      </c>
      <c r="I81" s="405">
        <v>0</v>
      </c>
      <c r="J81" s="405">
        <v>0</v>
      </c>
      <c r="K81" s="405">
        <v>0</v>
      </c>
      <c r="L81" s="82">
        <f ca="1">L75</f>
        <v>10405.535106374995</v>
      </c>
      <c r="M81" s="82">
        <f ca="1">IF('Customer Sector'!$F$29+$K$15&gt;=M$15,L81/(1+'Customer Sector'!$L$30),0)</f>
        <v>10102.461268325238</v>
      </c>
      <c r="N81" s="82">
        <f ca="1">IF('Customer Sector'!$F$29+$K$15&gt;=N$15,M81/(1+'Customer Sector'!$L$30),0)</f>
        <v>9808.2148236167359</v>
      </c>
      <c r="O81" s="82">
        <f ca="1">IF('Customer Sector'!$F$29+$K$15&gt;=O$15,N81/(1+'Customer Sector'!$L$30),0)</f>
        <v>9522.538663705569</v>
      </c>
      <c r="P81" s="82">
        <f ca="1">IF('Customer Sector'!$F$29+$K$15&gt;=P$15,O81/(1+'Customer Sector'!$L$30),0)</f>
        <v>9245.1831686461828</v>
      </c>
      <c r="Q81" s="82">
        <f ca="1">IF('Customer Sector'!$F$29+$K$15&gt;=Q$15,P81/(1+'Customer Sector'!$L$30),0)</f>
        <v>8975.905988976876</v>
      </c>
      <c r="R81" s="82">
        <f ca="1">IF('Customer Sector'!$F$29+$K$15&gt;=R$15,Q81/(1+'Customer Sector'!$L$30),0)</f>
        <v>8714.4718339581323</v>
      </c>
      <c r="S81" s="82">
        <f ca="1">IF('Customer Sector'!$F$29+$K$15&gt;=S$15,R81/(1+'Customer Sector'!$L$30),0)</f>
        <v>8460.6522659787697</v>
      </c>
      <c r="T81" s="82">
        <f ca="1">IF('Customer Sector'!$F$29+$K$15&gt;=T$15,S81/(1+'Customer Sector'!$L$30),0)</f>
        <v>8214.2255009502624</v>
      </c>
      <c r="U81" s="82">
        <f ca="1">IF('Customer Sector'!$F$29+$K$15&gt;=U$15,T81/(1+'Customer Sector'!$L$30),0)</f>
        <v>7974.9762145148179</v>
      </c>
      <c r="V81" s="82">
        <f>IF('Customer Sector'!$F$29+$K$15&gt;=V$15,U81/(1+'Customer Sector'!$L$30),0)</f>
        <v>0</v>
      </c>
      <c r="W81" s="82">
        <f>IF('Customer Sector'!$F$29+$K$15&gt;=W$15,V81/(1+'Customer Sector'!$L$30),0)</f>
        <v>0</v>
      </c>
      <c r="X81" s="82">
        <f>IF('Customer Sector'!$F$29+$K$15&gt;=X$15,W81/(1+'Customer Sector'!$L$30),0)</f>
        <v>0</v>
      </c>
      <c r="Y81" s="82">
        <f>IF('Customer Sector'!$F$29+$K$15&gt;=Y$15,X81/(1+'Customer Sector'!$L$30),0)</f>
        <v>0</v>
      </c>
      <c r="Z81" s="82">
        <f>IF('Customer Sector'!$F$29+$K$15&gt;=Z$15,Y81/(1+'Customer Sector'!$L$30),0)</f>
        <v>0</v>
      </c>
      <c r="AA81" s="82">
        <f>IF('Customer Sector'!$F$29+$K$15&gt;=AA$15,Z81/(1+'Customer Sector'!$L$30),0)</f>
        <v>0</v>
      </c>
      <c r="AB81" s="82">
        <f>IF('Customer Sector'!$F$29+$K$15&gt;=AB$15,AA81/(1+'Customer Sector'!$L$30),0)</f>
        <v>0</v>
      </c>
      <c r="AC81" s="82">
        <f>IF('Customer Sector'!$F$29+$K$15&gt;=AC$15,AB81/(1+'Customer Sector'!$L$30),0)</f>
        <v>0</v>
      </c>
      <c r="AD81" s="82">
        <f>IF('Customer Sector'!$F$29+$K$15&gt;=AD$15,AC81/(1+'Customer Sector'!$L$30),0)</f>
        <v>0</v>
      </c>
      <c r="AE81" s="82">
        <f>IF('Customer Sector'!$F$29+$K$15&gt;=AE$15,AD81/(1+'Customer Sector'!$L$30),0)</f>
        <v>0</v>
      </c>
      <c r="AF81" s="82">
        <f>IF('Customer Sector'!$F$29+$K$15&gt;=AF$15,AE81/(1+'Customer Sector'!$L$30),0)</f>
        <v>0</v>
      </c>
      <c r="AH81" s="4"/>
      <c r="AI81" s="51"/>
      <c r="AJ81" s="430" t="s">
        <v>33</v>
      </c>
      <c r="AK81" s="51"/>
      <c r="AL81" s="52" t="s">
        <v>19</v>
      </c>
      <c r="AM81" s="405">
        <v>0</v>
      </c>
      <c r="AN81" s="405">
        <v>0</v>
      </c>
      <c r="AO81" s="405">
        <v>0</v>
      </c>
      <c r="AP81" s="405">
        <v>0</v>
      </c>
      <c r="AQ81" s="405">
        <v>0</v>
      </c>
      <c r="AR81" s="82">
        <f>AR75</f>
        <v>58282.706851018207</v>
      </c>
      <c r="AS81" s="82">
        <f>IF('Customer Sector'!$L$29+$K$15&gt;=AS$15,AR81/(1+'Customer Sector'!$L$30),0)</f>
        <v>56585.152282541945</v>
      </c>
      <c r="AT81" s="82">
        <f>IF('Customer Sector'!$L$29+$K$15&gt;=AT$15,AS81/(1+'Customer Sector'!$L$30),0)</f>
        <v>54937.041051011598</v>
      </c>
      <c r="AU81" s="82">
        <f>IF('Customer Sector'!$L$29+$K$15&gt;=AU$15,AT81/(1+'Customer Sector'!$L$30),0)</f>
        <v>53336.933059234558</v>
      </c>
      <c r="AV81" s="82">
        <f>IF('Customer Sector'!$L$29+$K$15&gt;=AV$15,AU81/(1+'Customer Sector'!$L$30),0)</f>
        <v>51783.430154596659</v>
      </c>
      <c r="AW81" s="82">
        <f>IF('Customer Sector'!$L$29+$K$15&gt;=AW$15,AV81/(1+'Customer Sector'!$L$30),0)</f>
        <v>50275.174907375396</v>
      </c>
      <c r="AX81" s="82">
        <f>IF('Customer Sector'!$L$29+$K$15&gt;=AX$15,AW81/(1+'Customer Sector'!$L$30),0)</f>
        <v>48810.849424636304</v>
      </c>
      <c r="AY81" s="82">
        <f>IF('Customer Sector'!$L$29+$K$15&gt;=AY$15,AX81/(1+'Customer Sector'!$L$30),0)</f>
        <v>47389.174198676024</v>
      </c>
      <c r="AZ81" s="82">
        <f>IF('Customer Sector'!$L$29+$K$15&gt;=AZ$15,AY81/(1+'Customer Sector'!$L$30),0)</f>
        <v>46008.906989005845</v>
      </c>
      <c r="BA81" s="82">
        <f>IF('Customer Sector'!$L$29+$K$15&gt;=BA$15,AZ81/(1+'Customer Sector'!$L$30),0)</f>
        <v>44668.841736898881</v>
      </c>
      <c r="BB81" s="82">
        <f>IF('Customer Sector'!$L$29+$K$15&gt;=BB$15,BA81/(1+'Customer Sector'!$L$30),0)</f>
        <v>43367.80751155231</v>
      </c>
      <c r="BC81" s="82">
        <f>IF('Customer Sector'!$L$29+$K$15&gt;=BC$15,BB81/(1+'Customer Sector'!$L$30),0)</f>
        <v>42104.667486943988</v>
      </c>
      <c r="BD81" s="82">
        <f>IF('Customer Sector'!$L$29+$K$15&gt;=BD$15,BC81/(1+'Customer Sector'!$L$30),0)</f>
        <v>40878.317948489312</v>
      </c>
      <c r="BE81" s="82">
        <f>IF('Customer Sector'!$L$29+$K$15&gt;=BE$15,BD81/(1+'Customer Sector'!$L$30),0)</f>
        <v>39687.687328630396</v>
      </c>
      <c r="BF81" s="82">
        <f>IF('Customer Sector'!$L$29+$K$15&gt;=BF$15,BE81/(1+'Customer Sector'!$L$30),0)</f>
        <v>38531.735270514946</v>
      </c>
      <c r="BG81" s="82">
        <f>IF('Customer Sector'!$L$29+$K$15&gt;=BG$15,BF81/(1+'Customer Sector'!$L$30),0)</f>
        <v>0</v>
      </c>
      <c r="BH81" s="82">
        <f>IF('Customer Sector'!$L$29+$K$15&gt;=BH$15,BG81/(1+'Customer Sector'!$L$30),0)</f>
        <v>0</v>
      </c>
      <c r="BI81" s="82">
        <f>IF('Customer Sector'!$L$29+$K$15&gt;=BI$15,BH81/(1+'Customer Sector'!$L$30),0)</f>
        <v>0</v>
      </c>
      <c r="BJ81" s="82">
        <f>IF('Customer Sector'!$L$29+$K$15&gt;=BJ$15,BI81/(1+'Customer Sector'!$L$30),0)</f>
        <v>0</v>
      </c>
      <c r="BK81" s="82">
        <f>IF('Customer Sector'!$L$29+$K$15&gt;=BK$15,BJ81/(1+'Customer Sector'!$L$30),0)</f>
        <v>0</v>
      </c>
      <c r="BL81" s="83">
        <f>IF('Customer Sector'!$L$29+$K$15&gt;=BL$15,BK81/(1+'Customer Sector'!$L$30),0)</f>
        <v>0</v>
      </c>
    </row>
    <row r="82" spans="2:64" ht="15" hidden="1" customHeight="1" outlineLevel="1" x14ac:dyDescent="0.25">
      <c r="B82" s="4"/>
      <c r="C82" s="51"/>
      <c r="D82" s="51" t="s">
        <v>34</v>
      </c>
      <c r="E82" s="51"/>
      <c r="F82" s="52" t="s">
        <v>19</v>
      </c>
      <c r="G82" s="405">
        <v>0</v>
      </c>
      <c r="H82" s="405">
        <v>0</v>
      </c>
      <c r="I82" s="405">
        <v>0</v>
      </c>
      <c r="J82" s="405">
        <v>0</v>
      </c>
      <c r="K82" s="405">
        <v>0</v>
      </c>
      <c r="L82" s="405">
        <v>0</v>
      </c>
      <c r="M82" s="82">
        <f ca="1">M75</f>
        <v>10457.562781906869</v>
      </c>
      <c r="N82" s="82">
        <f ca="1">IF('Customer Sector'!$F$29+$L$15&gt;=N$15,M82/(1+'Customer Sector'!$L$30),0)</f>
        <v>10152.973574666863</v>
      </c>
      <c r="O82" s="82">
        <f ca="1">IF('Customer Sector'!$F$29+$L$15&gt;=O$15,N82/(1+'Customer Sector'!$L$30),0)</f>
        <v>9857.2558977348181</v>
      </c>
      <c r="P82" s="82">
        <f ca="1">IF('Customer Sector'!$F$29+$L$15&gt;=P$15,O82/(1+'Customer Sector'!$L$30),0)</f>
        <v>9570.151357024095</v>
      </c>
      <c r="Q82" s="82">
        <f ca="1">IF('Customer Sector'!$F$29+$L$15&gt;=Q$15,P82/(1+'Customer Sector'!$L$30),0)</f>
        <v>9291.4090844894126</v>
      </c>
      <c r="R82" s="82">
        <f ca="1">IF('Customer Sector'!$F$29+$L$15&gt;=R$15,Q82/(1+'Customer Sector'!$L$30),0)</f>
        <v>9020.7855189217589</v>
      </c>
      <c r="S82" s="82">
        <f ca="1">IF('Customer Sector'!$F$29+$L$15&gt;=S$15,R82/(1+'Customer Sector'!$L$30),0)</f>
        <v>8758.0441931279202</v>
      </c>
      <c r="T82" s="82">
        <f ca="1">IF('Customer Sector'!$F$29+$L$15&gt;=T$15,S82/(1+'Customer Sector'!$L$30),0)</f>
        <v>8502.9555273086607</v>
      </c>
      <c r="U82" s="82">
        <f ca="1">IF('Customer Sector'!$F$29+$L$15&gt;=U$15,T82/(1+'Customer Sector'!$L$30),0)</f>
        <v>8255.2966284550093</v>
      </c>
      <c r="V82" s="82">
        <f ca="1">IF('Customer Sector'!$F$29+$L$15&gt;=V$15,U82/(1+'Customer Sector'!$L$30),0)</f>
        <v>8014.8510955873871</v>
      </c>
      <c r="W82" s="82">
        <f>IF('Customer Sector'!$F$29+$L$15&gt;=W$15,V82/(1+'Customer Sector'!$L$30),0)</f>
        <v>0</v>
      </c>
      <c r="X82" s="82">
        <f>IF('Customer Sector'!$F$29+$L$15&gt;=X$15,W82/(1+'Customer Sector'!$L$30),0)</f>
        <v>0</v>
      </c>
      <c r="Y82" s="82">
        <f>IF('Customer Sector'!$F$29+$L$15&gt;=Y$15,X82/(1+'Customer Sector'!$L$30),0)</f>
        <v>0</v>
      </c>
      <c r="Z82" s="82">
        <f>IF('Customer Sector'!$F$29+$L$15&gt;=Z$15,Y82/(1+'Customer Sector'!$L$30),0)</f>
        <v>0</v>
      </c>
      <c r="AA82" s="82">
        <f>IF('Customer Sector'!$F$29+$L$15&gt;=AA$15,Z82/(1+'Customer Sector'!$L$30),0)</f>
        <v>0</v>
      </c>
      <c r="AB82" s="82">
        <f>IF('Customer Sector'!$F$29+$L$15&gt;=AB$15,AA82/(1+'Customer Sector'!$L$30),0)</f>
        <v>0</v>
      </c>
      <c r="AC82" s="82">
        <f>IF('Customer Sector'!$F$29+$L$15&gt;=AC$15,AB82/(1+'Customer Sector'!$L$30),0)</f>
        <v>0</v>
      </c>
      <c r="AD82" s="82">
        <f>IF('Customer Sector'!$F$29+$L$15&gt;=AD$15,AC82/(1+'Customer Sector'!$L$30),0)</f>
        <v>0</v>
      </c>
      <c r="AE82" s="82">
        <f>IF('Customer Sector'!$F$29+$L$15&gt;=AE$15,AD82/(1+'Customer Sector'!$L$30),0)</f>
        <v>0</v>
      </c>
      <c r="AF82" s="82">
        <f>IF('Customer Sector'!$F$29+$L$15&gt;=AF$15,AE82/(1+'Customer Sector'!$L$30),0)</f>
        <v>0</v>
      </c>
      <c r="AH82" s="4"/>
      <c r="AI82" s="51"/>
      <c r="AJ82" s="430" t="s">
        <v>34</v>
      </c>
      <c r="AK82" s="51"/>
      <c r="AL82" s="52" t="s">
        <v>19</v>
      </c>
      <c r="AM82" s="405">
        <v>0</v>
      </c>
      <c r="AN82" s="405">
        <v>0</v>
      </c>
      <c r="AO82" s="405">
        <v>0</v>
      </c>
      <c r="AP82" s="405">
        <v>0</v>
      </c>
      <c r="AQ82" s="405">
        <v>0</v>
      </c>
      <c r="AR82" s="405">
        <v>0</v>
      </c>
      <c r="AS82" s="82">
        <f>AS75</f>
        <v>59040.382040081437</v>
      </c>
      <c r="AT82" s="82">
        <f>IF('Customer Sector'!$L$29+$L$15&gt;=AT$15,AS82/(1+'Customer Sector'!$L$30),0)</f>
        <v>57320.759262214982</v>
      </c>
      <c r="AU82" s="82">
        <f>IF('Customer Sector'!$L$29+$L$15&gt;=AU$15,AT82/(1+'Customer Sector'!$L$30),0)</f>
        <v>55651.222584674739</v>
      </c>
      <c r="AV82" s="82">
        <f>IF('Customer Sector'!$L$29+$L$15&gt;=AV$15,AU82/(1+'Customer Sector'!$L$30),0)</f>
        <v>54030.313189004599</v>
      </c>
      <c r="AW82" s="82">
        <f>IF('Customer Sector'!$L$29+$L$15&gt;=AW$15,AV82/(1+'Customer Sector'!$L$30),0)</f>
        <v>52456.614746606407</v>
      </c>
      <c r="AX82" s="82">
        <f>IF('Customer Sector'!$L$29+$L$15&gt;=AX$15,AW82/(1+'Customer Sector'!$L$30),0)</f>
        <v>50928.752181171265</v>
      </c>
      <c r="AY82" s="82">
        <f>IF('Customer Sector'!$L$29+$L$15&gt;=AY$15,AX82/(1+'Customer Sector'!$L$30),0)</f>
        <v>49445.390467156569</v>
      </c>
      <c r="AZ82" s="82">
        <f>IF('Customer Sector'!$L$29+$L$15&gt;=AZ$15,AY82/(1+'Customer Sector'!$L$30),0)</f>
        <v>48005.233463258803</v>
      </c>
      <c r="BA82" s="82">
        <f>IF('Customer Sector'!$L$29+$L$15&gt;=BA$15,AZ82/(1+'Customer Sector'!$L$30),0)</f>
        <v>46607.022779862913</v>
      </c>
      <c r="BB82" s="82">
        <f>IF('Customer Sector'!$L$29+$L$15&gt;=BB$15,BA82/(1+'Customer Sector'!$L$30),0)</f>
        <v>45249.536679478559</v>
      </c>
      <c r="BC82" s="82">
        <f>IF('Customer Sector'!$L$29+$L$15&gt;=BC$15,BB82/(1+'Customer Sector'!$L$30),0)</f>
        <v>43931.589009202486</v>
      </c>
      <c r="BD82" s="82">
        <f>IF('Customer Sector'!$L$29+$L$15&gt;=BD$15,BC82/(1+'Customer Sector'!$L$30),0)</f>
        <v>42652.028164274256</v>
      </c>
      <c r="BE82" s="82">
        <f>IF('Customer Sector'!$L$29+$L$15&gt;=BE$15,BD82/(1+'Customer Sector'!$L$30),0)</f>
        <v>41409.736081819661</v>
      </c>
      <c r="BF82" s="82">
        <f>IF('Customer Sector'!$L$29+$L$15&gt;=BF$15,BE82/(1+'Customer Sector'!$L$30),0)</f>
        <v>40203.627263902585</v>
      </c>
      <c r="BG82" s="82">
        <f>IF('Customer Sector'!$L$29+$L$15&gt;=BG$15,BF82/(1+'Customer Sector'!$L$30),0)</f>
        <v>39032.647829031637</v>
      </c>
      <c r="BH82" s="82">
        <f>IF('Customer Sector'!$L$29+$L$15&gt;=BH$15,BG82/(1+'Customer Sector'!$L$30),0)</f>
        <v>0</v>
      </c>
      <c r="BI82" s="82">
        <f>IF('Customer Sector'!$L$29+$L$15&gt;=BI$15,BH82/(1+'Customer Sector'!$L$30),0)</f>
        <v>0</v>
      </c>
      <c r="BJ82" s="82">
        <f>IF('Customer Sector'!$L$29+$L$15&gt;=BJ$15,BI82/(1+'Customer Sector'!$L$30),0)</f>
        <v>0</v>
      </c>
      <c r="BK82" s="82">
        <f>IF('Customer Sector'!$L$29+$L$15&gt;=BK$15,BJ82/(1+'Customer Sector'!$L$30),0)</f>
        <v>0</v>
      </c>
      <c r="BL82" s="83">
        <f>IF('Customer Sector'!$L$29+$L$15&gt;=BL$15,BK82/(1+'Customer Sector'!$L$30),0)</f>
        <v>0</v>
      </c>
    </row>
    <row r="83" spans="2:64" ht="15" hidden="1" customHeight="1" outlineLevel="1" x14ac:dyDescent="0.25">
      <c r="B83" s="4"/>
      <c r="C83" s="51"/>
      <c r="D83" s="51" t="s">
        <v>35</v>
      </c>
      <c r="E83" s="51"/>
      <c r="F83" s="52" t="s">
        <v>19</v>
      </c>
      <c r="G83" s="405">
        <v>0</v>
      </c>
      <c r="H83" s="405">
        <v>0</v>
      </c>
      <c r="I83" s="405">
        <v>0</v>
      </c>
      <c r="J83" s="405">
        <v>0</v>
      </c>
      <c r="K83" s="405">
        <v>0</v>
      </c>
      <c r="L83" s="405">
        <v>0</v>
      </c>
      <c r="M83" s="405">
        <v>0</v>
      </c>
      <c r="N83" s="82">
        <f ca="1">N75</f>
        <v>10509.850595816402</v>
      </c>
      <c r="O83" s="82">
        <f ca="1">IF('Customer Sector'!$F$29+$M$15&gt;=O$15,N83/(1+'Customer Sector'!$L$30),0)</f>
        <v>10203.738442540196</v>
      </c>
      <c r="P83" s="82">
        <f ca="1">IF('Customer Sector'!$F$29+$M$15&gt;=P$15,O83/(1+'Customer Sector'!$L$30),0)</f>
        <v>9906.5421772234913</v>
      </c>
      <c r="Q83" s="82">
        <f ca="1">IF('Customer Sector'!$F$29+$M$15&gt;=Q$15,P83/(1+'Customer Sector'!$L$30),0)</f>
        <v>9618.0021138092143</v>
      </c>
      <c r="R83" s="82">
        <f ca="1">IF('Customer Sector'!$F$29+$M$15&gt;=R$15,Q83/(1+'Customer Sector'!$L$30),0)</f>
        <v>9337.8661299118576</v>
      </c>
      <c r="S83" s="82">
        <f ca="1">IF('Customer Sector'!$F$29+$M$15&gt;=S$15,R83/(1+'Customer Sector'!$L$30),0)</f>
        <v>9065.8894465163667</v>
      </c>
      <c r="T83" s="82">
        <f ca="1">IF('Customer Sector'!$F$29+$M$15&gt;=T$15,S83/(1+'Customer Sector'!$L$30),0)</f>
        <v>8801.8344140935587</v>
      </c>
      <c r="U83" s="82">
        <f ca="1">IF('Customer Sector'!$F$29+$M$15&gt;=U$15,T83/(1+'Customer Sector'!$L$30),0)</f>
        <v>8545.4703049452019</v>
      </c>
      <c r="V83" s="82">
        <f ca="1">IF('Customer Sector'!$F$29+$M$15&gt;=V$15,U83/(1+'Customer Sector'!$L$30),0)</f>
        <v>8296.5731115972831</v>
      </c>
      <c r="W83" s="82">
        <f ca="1">IF('Customer Sector'!$F$29+$M$15&gt;=W$15,V83/(1+'Customer Sector'!$L$30),0)</f>
        <v>8054.9253510653234</v>
      </c>
      <c r="X83" s="82">
        <f>IF('Customer Sector'!$F$29+$M$15&gt;=X$15,W83/(1+'Customer Sector'!$L$30),0)</f>
        <v>0</v>
      </c>
      <c r="Y83" s="82">
        <f>IF('Customer Sector'!$F$29+$M$15&gt;=Y$15,X83/(1+'Customer Sector'!$L$30),0)</f>
        <v>0</v>
      </c>
      <c r="Z83" s="82">
        <f>IF('Customer Sector'!$F$29+$M$15&gt;=Z$15,Y83/(1+'Customer Sector'!$L$30),0)</f>
        <v>0</v>
      </c>
      <c r="AA83" s="82">
        <f>IF('Customer Sector'!$F$29+$M$15&gt;=AA$15,Z83/(1+'Customer Sector'!$L$30),0)</f>
        <v>0</v>
      </c>
      <c r="AB83" s="82">
        <f>IF('Customer Sector'!$F$29+$M$15&gt;=AB$15,AA83/(1+'Customer Sector'!$L$30),0)</f>
        <v>0</v>
      </c>
      <c r="AC83" s="82">
        <f>IF('Customer Sector'!$F$29+$M$15&gt;=AC$15,AB83/(1+'Customer Sector'!$L$30),0)</f>
        <v>0</v>
      </c>
      <c r="AD83" s="82">
        <f>IF('Customer Sector'!$F$29+$M$15&gt;=AD$15,AC83/(1+'Customer Sector'!$L$30),0)</f>
        <v>0</v>
      </c>
      <c r="AE83" s="82">
        <f>IF('Customer Sector'!$F$29+$M$15&gt;=AE$15,AD83/(1+'Customer Sector'!$L$30),0)</f>
        <v>0</v>
      </c>
      <c r="AF83" s="82">
        <f>IF('Customer Sector'!$F$29+$M$15&gt;=AF$15,AE83/(1+'Customer Sector'!$L$30),0)</f>
        <v>0</v>
      </c>
      <c r="AH83" s="4"/>
      <c r="AI83" s="51"/>
      <c r="AJ83" s="430" t="s">
        <v>35</v>
      </c>
      <c r="AK83" s="51"/>
      <c r="AL83" s="52" t="s">
        <v>19</v>
      </c>
      <c r="AM83" s="405">
        <v>0</v>
      </c>
      <c r="AN83" s="405">
        <v>0</v>
      </c>
      <c r="AO83" s="405">
        <v>0</v>
      </c>
      <c r="AP83" s="405">
        <v>0</v>
      </c>
      <c r="AQ83" s="405">
        <v>0</v>
      </c>
      <c r="AR83" s="405">
        <v>0</v>
      </c>
      <c r="AS83" s="405">
        <v>0</v>
      </c>
      <c r="AT83" s="82">
        <f>AT75</f>
        <v>59807.907006602487</v>
      </c>
      <c r="AU83" s="82">
        <f>IF('Customer Sector'!$L$29+$M$15&gt;=AU$15,AT83/(1+'Customer Sector'!$L$30),0)</f>
        <v>58065.929132623773</v>
      </c>
      <c r="AV83" s="82">
        <f>IF('Customer Sector'!$L$29+$M$15&gt;=AV$15,AU83/(1+'Customer Sector'!$L$30),0)</f>
        <v>56374.688478275508</v>
      </c>
      <c r="AW83" s="82">
        <f>IF('Customer Sector'!$L$29+$M$15&gt;=AW$15,AV83/(1+'Customer Sector'!$L$30),0)</f>
        <v>54732.707260461655</v>
      </c>
      <c r="AX83" s="82">
        <f>IF('Customer Sector'!$L$29+$M$15&gt;=AX$15,AW83/(1+'Customer Sector'!$L$30),0)</f>
        <v>53138.550738312282</v>
      </c>
      <c r="AY83" s="82">
        <f>IF('Customer Sector'!$L$29+$M$15&gt;=AY$15,AX83/(1+'Customer Sector'!$L$30),0)</f>
        <v>51590.825959526483</v>
      </c>
      <c r="AZ83" s="82">
        <f>IF('Customer Sector'!$L$29+$M$15&gt;=AZ$15,AY83/(1+'Customer Sector'!$L$30),0)</f>
        <v>50088.180543229595</v>
      </c>
      <c r="BA83" s="82">
        <f>IF('Customer Sector'!$L$29+$M$15&gt;=BA$15,AZ83/(1+'Customer Sector'!$L$30),0)</f>
        <v>48629.301498281158</v>
      </c>
      <c r="BB83" s="82">
        <f>IF('Customer Sector'!$L$29+$M$15&gt;=BB$15,BA83/(1+'Customer Sector'!$L$30),0)</f>
        <v>47212.914076001121</v>
      </c>
      <c r="BC83" s="82">
        <f>IF('Customer Sector'!$L$29+$M$15&gt;=BC$15,BB83/(1+'Customer Sector'!$L$30),0)</f>
        <v>45837.78065631177</v>
      </c>
      <c r="BD83" s="82">
        <f>IF('Customer Sector'!$L$29+$M$15&gt;=BD$15,BC83/(1+'Customer Sector'!$L$30),0)</f>
        <v>44502.699666322107</v>
      </c>
      <c r="BE83" s="82">
        <f>IF('Customer Sector'!$L$29+$M$15&gt;=BE$15,BD83/(1+'Customer Sector'!$L$30),0)</f>
        <v>43206.504530409809</v>
      </c>
      <c r="BF83" s="82">
        <f>IF('Customer Sector'!$L$29+$M$15&gt;=BF$15,BE83/(1+'Customer Sector'!$L$30),0)</f>
        <v>41948.062650883308</v>
      </c>
      <c r="BG83" s="82">
        <f>IF('Customer Sector'!$L$29+$M$15&gt;=BG$15,BF83/(1+'Customer Sector'!$L$30),0)</f>
        <v>40726.274418333305</v>
      </c>
      <c r="BH83" s="82">
        <f>IF('Customer Sector'!$L$29+$M$15&gt;=BH$15,BG83/(1+'Customer Sector'!$L$30),0)</f>
        <v>39540.072250809033</v>
      </c>
      <c r="BI83" s="82">
        <f>IF('Customer Sector'!$L$29+$M$15&gt;=BI$15,BH83/(1+'Customer Sector'!$L$30),0)</f>
        <v>0</v>
      </c>
      <c r="BJ83" s="82">
        <f>IF('Customer Sector'!$L$29+$M$15&gt;=BJ$15,BI83/(1+'Customer Sector'!$L$30),0)</f>
        <v>0</v>
      </c>
      <c r="BK83" s="82">
        <f>IF('Customer Sector'!$L$29+$M$15&gt;=BK$15,BJ83/(1+'Customer Sector'!$L$30),0)</f>
        <v>0</v>
      </c>
      <c r="BL83" s="83">
        <f>IF('Customer Sector'!$L$29+$M$15&gt;=BL$15,BK83/(1+'Customer Sector'!$L$30),0)</f>
        <v>0</v>
      </c>
    </row>
    <row r="84" spans="2:64" ht="15" hidden="1" customHeight="1" outlineLevel="1" x14ac:dyDescent="0.25">
      <c r="B84" s="4"/>
      <c r="C84" s="51"/>
      <c r="D84" s="51" t="s">
        <v>36</v>
      </c>
      <c r="E84" s="51"/>
      <c r="F84" s="52" t="s">
        <v>19</v>
      </c>
      <c r="G84" s="405">
        <v>0</v>
      </c>
      <c r="H84" s="405">
        <v>0</v>
      </c>
      <c r="I84" s="405">
        <v>0</v>
      </c>
      <c r="J84" s="405">
        <v>0</v>
      </c>
      <c r="K84" s="405">
        <v>0</v>
      </c>
      <c r="L84" s="405">
        <v>0</v>
      </c>
      <c r="M84" s="405">
        <v>0</v>
      </c>
      <c r="N84" s="405">
        <v>0</v>
      </c>
      <c r="O84" s="82">
        <f ca="1">O75</f>
        <v>10562.399848795483</v>
      </c>
      <c r="P84" s="82">
        <f ca="1">IF('Customer Sector'!$F$29+$N$15&gt;=P$15,O84/(1+'Customer Sector'!$L$30),0)</f>
        <v>10254.757134752896</v>
      </c>
      <c r="Q84" s="82">
        <f ca="1">IF('Customer Sector'!$F$29+$N$15&gt;=Q$15,P84/(1+'Customer Sector'!$L$30),0)</f>
        <v>9956.0748881096079</v>
      </c>
      <c r="R84" s="82">
        <f ca="1">IF('Customer Sector'!$F$29+$N$15&gt;=R$15,Q84/(1+'Customer Sector'!$L$30),0)</f>
        <v>9666.0921243782595</v>
      </c>
      <c r="S84" s="82">
        <f ca="1">IF('Customer Sector'!$F$29+$N$15&gt;=S$15,R84/(1+'Customer Sector'!$L$30),0)</f>
        <v>9384.5554605614161</v>
      </c>
      <c r="T84" s="82">
        <f ca="1">IF('Customer Sector'!$F$29+$N$15&gt;=T$15,S84/(1+'Customer Sector'!$L$30),0)</f>
        <v>9111.2188937489482</v>
      </c>
      <c r="U84" s="82">
        <f ca="1">IF('Customer Sector'!$F$29+$N$15&gt;=U$15,T84/(1+'Customer Sector'!$L$30),0)</f>
        <v>8845.8435861640264</v>
      </c>
      <c r="V84" s="82">
        <f ca="1">IF('Customer Sector'!$F$29+$N$15&gt;=V$15,U84/(1+'Customer Sector'!$L$30),0)</f>
        <v>8588.1976564699289</v>
      </c>
      <c r="W84" s="82">
        <f ca="1">IF('Customer Sector'!$F$29+$N$15&gt;=W$15,V84/(1+'Customer Sector'!$L$30),0)</f>
        <v>8338.0559771552707</v>
      </c>
      <c r="X84" s="82">
        <f ca="1">IF('Customer Sector'!$F$29+$N$15&gt;=X$15,W84/(1+'Customer Sector'!$L$30),0)</f>
        <v>8095.1999778206509</v>
      </c>
      <c r="Y84" s="82">
        <f>IF('Customer Sector'!$F$29+$N$15&gt;=Y$15,X84/(1+'Customer Sector'!$L$30),0)</f>
        <v>0</v>
      </c>
      <c r="Z84" s="82">
        <f>IF('Customer Sector'!$F$29+$N$15&gt;=Z$15,Y84/(1+'Customer Sector'!$L$30),0)</f>
        <v>0</v>
      </c>
      <c r="AA84" s="82">
        <f>IF('Customer Sector'!$F$29+$N$15&gt;=AA$15,Z84/(1+'Customer Sector'!$L$30),0)</f>
        <v>0</v>
      </c>
      <c r="AB84" s="82">
        <f>IF('Customer Sector'!$F$29+$N$15&gt;=AB$15,AA84/(1+'Customer Sector'!$L$30),0)</f>
        <v>0</v>
      </c>
      <c r="AC84" s="82">
        <f>IF('Customer Sector'!$F$29+$N$15&gt;=AC$15,AB84/(1+'Customer Sector'!$L$30),0)</f>
        <v>0</v>
      </c>
      <c r="AD84" s="82">
        <f>IF('Customer Sector'!$F$29+$N$15&gt;=AD$15,AC84/(1+'Customer Sector'!$L$30),0)</f>
        <v>0</v>
      </c>
      <c r="AE84" s="82">
        <f>IF('Customer Sector'!$F$29+$N$15&gt;=AE$15,AD84/(1+'Customer Sector'!$L$30),0)</f>
        <v>0</v>
      </c>
      <c r="AF84" s="82">
        <f>IF('Customer Sector'!$F$29+$N$15&gt;=AF$15,AE84/(1+'Customer Sector'!$L$30),0)</f>
        <v>0</v>
      </c>
      <c r="AH84" s="4"/>
      <c r="AI84" s="51"/>
      <c r="AJ84" s="430" t="s">
        <v>36</v>
      </c>
      <c r="AK84" s="51"/>
      <c r="AL84" s="52" t="s">
        <v>19</v>
      </c>
      <c r="AM84" s="405">
        <v>0</v>
      </c>
      <c r="AN84" s="405">
        <v>0</v>
      </c>
      <c r="AO84" s="405">
        <v>0</v>
      </c>
      <c r="AP84" s="405">
        <v>0</v>
      </c>
      <c r="AQ84" s="405">
        <v>0</v>
      </c>
      <c r="AR84" s="405">
        <v>0</v>
      </c>
      <c r="AS84" s="405">
        <v>0</v>
      </c>
      <c r="AT84" s="405">
        <v>0</v>
      </c>
      <c r="AU84" s="82">
        <f>AU75</f>
        <v>60585.409797688313</v>
      </c>
      <c r="AV84" s="82">
        <f>IF('Customer Sector'!$L$29+$N$15&gt;=AV$15,AU84/(1+'Customer Sector'!$L$30),0)</f>
        <v>58820.786211347877</v>
      </c>
      <c r="AW84" s="82">
        <f>IF('Customer Sector'!$L$29+$N$15&gt;=AW$15,AV84/(1+'Customer Sector'!$L$30),0)</f>
        <v>57107.559428493085</v>
      </c>
      <c r="AX84" s="82">
        <f>IF('Customer Sector'!$L$29+$N$15&gt;=AX$15,AW84/(1+'Customer Sector'!$L$30),0)</f>
        <v>55444.232454847654</v>
      </c>
      <c r="AY84" s="82">
        <f>IF('Customer Sector'!$L$29+$N$15&gt;=AY$15,AX84/(1+'Customer Sector'!$L$30),0)</f>
        <v>53829.351897910339</v>
      </c>
      <c r="AZ84" s="82">
        <f>IF('Customer Sector'!$L$29+$N$15&gt;=AZ$15,AY84/(1+'Customer Sector'!$L$30),0)</f>
        <v>52261.506697000324</v>
      </c>
      <c r="BA84" s="82">
        <f>IF('Customer Sector'!$L$29+$N$15&gt;=BA$15,AZ84/(1+'Customer Sector'!$L$30),0)</f>
        <v>50739.326890291573</v>
      </c>
      <c r="BB84" s="82">
        <f>IF('Customer Sector'!$L$29+$N$15&gt;=BB$15,BA84/(1+'Customer Sector'!$L$30),0)</f>
        <v>49261.482417758809</v>
      </c>
      <c r="BC84" s="82">
        <f>IF('Customer Sector'!$L$29+$N$15&gt;=BC$15,BB84/(1+'Customer Sector'!$L$30),0)</f>
        <v>47826.681958989131</v>
      </c>
      <c r="BD84" s="82">
        <f>IF('Customer Sector'!$L$29+$N$15&gt;=BD$15,BC84/(1+'Customer Sector'!$L$30),0)</f>
        <v>46433.671804843812</v>
      </c>
      <c r="BE84" s="82">
        <f>IF('Customer Sector'!$L$29+$N$15&gt;=BE$15,BD84/(1+'Customer Sector'!$L$30),0)</f>
        <v>45081.234761984284</v>
      </c>
      <c r="BF84" s="82">
        <f>IF('Customer Sector'!$L$29+$N$15&gt;=BF$15,BE84/(1+'Customer Sector'!$L$30),0)</f>
        <v>43768.189089305131</v>
      </c>
      <c r="BG84" s="82">
        <f>IF('Customer Sector'!$L$29+$N$15&gt;=BG$15,BF84/(1+'Customer Sector'!$L$30),0)</f>
        <v>42493.387465344786</v>
      </c>
      <c r="BH84" s="82">
        <f>IF('Customer Sector'!$L$29+$N$15&gt;=BH$15,BG84/(1+'Customer Sector'!$L$30),0)</f>
        <v>41255.715985771632</v>
      </c>
      <c r="BI84" s="82">
        <f>IF('Customer Sector'!$L$29+$N$15&gt;=BI$15,BH84/(1+'Customer Sector'!$L$30),0)</f>
        <v>40054.093190069543</v>
      </c>
      <c r="BJ84" s="82">
        <f>IF('Customer Sector'!$L$29+$N$15&gt;=BJ$15,BI84/(1+'Customer Sector'!$L$30),0)</f>
        <v>0</v>
      </c>
      <c r="BK84" s="82">
        <f>IF('Customer Sector'!$L$29+$N$15&gt;=BK$15,BJ84/(1+'Customer Sector'!$L$30),0)</f>
        <v>0</v>
      </c>
      <c r="BL84" s="83">
        <f>IF('Customer Sector'!$L$29+$N$15&gt;=BL$15,BK84/(1+'Customer Sector'!$L$30),0)</f>
        <v>0</v>
      </c>
    </row>
    <row r="85" spans="2:64" ht="15" hidden="1" customHeight="1" outlineLevel="1" x14ac:dyDescent="0.25">
      <c r="B85" s="4"/>
      <c r="C85" s="51"/>
      <c r="D85" s="51" t="s">
        <v>37</v>
      </c>
      <c r="E85" s="51"/>
      <c r="F85" s="52" t="s">
        <v>19</v>
      </c>
      <c r="G85" s="405">
        <v>0</v>
      </c>
      <c r="H85" s="405">
        <v>0</v>
      </c>
      <c r="I85" s="405">
        <v>0</v>
      </c>
      <c r="J85" s="405">
        <v>0</v>
      </c>
      <c r="K85" s="405">
        <v>0</v>
      </c>
      <c r="L85" s="405">
        <v>0</v>
      </c>
      <c r="M85" s="405">
        <v>0</v>
      </c>
      <c r="N85" s="405">
        <v>0</v>
      </c>
      <c r="O85" s="405">
        <v>0</v>
      </c>
      <c r="P85" s="82">
        <f ca="1">P75</f>
        <v>10615.21184803946</v>
      </c>
      <c r="Q85" s="82">
        <f ca="1">IF('Customer Sector'!$F$29+$O$15&gt;=Q$15,P85/(1+'Customer Sector'!$L$30),0)</f>
        <v>10306.03092042666</v>
      </c>
      <c r="R85" s="82">
        <f ca="1">IF('Customer Sector'!$F$29+$O$15&gt;=R$15,Q85/(1+'Customer Sector'!$L$30),0)</f>
        <v>10005.855262550154</v>
      </c>
      <c r="S85" s="82">
        <f ca="1">IF('Customer Sector'!$F$29+$O$15&gt;=S$15,R85/(1+'Customer Sector'!$L$30),0)</f>
        <v>9714.4225850001494</v>
      </c>
      <c r="T85" s="82">
        <f ca="1">IF('Customer Sector'!$F$29+$O$15&gt;=T$15,S85/(1+'Customer Sector'!$L$30),0)</f>
        <v>9431.478237864223</v>
      </c>
      <c r="U85" s="82">
        <f ca="1">IF('Customer Sector'!$F$29+$O$15&gt;=U$15,T85/(1+'Customer Sector'!$L$30),0)</f>
        <v>9156.7749882176922</v>
      </c>
      <c r="V85" s="82">
        <f ca="1">IF('Customer Sector'!$F$29+$O$15&gt;=V$15,U85/(1+'Customer Sector'!$L$30),0)</f>
        <v>8890.072804094847</v>
      </c>
      <c r="W85" s="82">
        <f ca="1">IF('Customer Sector'!$F$29+$O$15&gt;=W$15,V85/(1+'Customer Sector'!$L$30),0)</f>
        <v>8631.1386447522782</v>
      </c>
      <c r="X85" s="82">
        <f ca="1">IF('Customer Sector'!$F$29+$O$15&gt;=X$15,W85/(1+'Customer Sector'!$L$30),0)</f>
        <v>8379.7462570410462</v>
      </c>
      <c r="Y85" s="82">
        <f ca="1">IF('Customer Sector'!$F$29+$O$15&gt;=Y$15,X85/(1+'Customer Sector'!$L$30),0)</f>
        <v>8135.6759777097532</v>
      </c>
      <c r="Z85" s="82">
        <f>IF('Customer Sector'!$F$29+$O$15&gt;=Z$15,Y85/(1+'Customer Sector'!$L$30),0)</f>
        <v>0</v>
      </c>
      <c r="AA85" s="82">
        <f>IF('Customer Sector'!$F$29+$O$15&gt;=AA$15,Z85/(1+'Customer Sector'!$L$30),0)</f>
        <v>0</v>
      </c>
      <c r="AB85" s="82">
        <f>IF('Customer Sector'!$F$29+$O$15&gt;=AB$15,AA85/(1+'Customer Sector'!$L$30),0)</f>
        <v>0</v>
      </c>
      <c r="AC85" s="82">
        <f>IF('Customer Sector'!$F$29+$O$15&gt;=AC$15,AB85/(1+'Customer Sector'!$L$30),0)</f>
        <v>0</v>
      </c>
      <c r="AD85" s="82">
        <f>IF('Customer Sector'!$F$29+$O$15&gt;=AD$15,AC85/(1+'Customer Sector'!$L$30),0)</f>
        <v>0</v>
      </c>
      <c r="AE85" s="82">
        <f>IF('Customer Sector'!$F$29+$O$15&gt;=AE$15,AD85/(1+'Customer Sector'!$L$30),0)</f>
        <v>0</v>
      </c>
      <c r="AF85" s="82">
        <f>IF('Customer Sector'!$F$29+$O$15&gt;=AF$15,AE85/(1+'Customer Sector'!$L$30),0)</f>
        <v>0</v>
      </c>
      <c r="AH85" s="4"/>
      <c r="AI85" s="51"/>
      <c r="AJ85" s="430" t="s">
        <v>37</v>
      </c>
      <c r="AK85" s="51"/>
      <c r="AL85" s="52" t="s">
        <v>19</v>
      </c>
      <c r="AM85" s="405">
        <v>0</v>
      </c>
      <c r="AN85" s="405">
        <v>0</v>
      </c>
      <c r="AO85" s="405">
        <v>0</v>
      </c>
      <c r="AP85" s="405">
        <v>0</v>
      </c>
      <c r="AQ85" s="405">
        <v>0</v>
      </c>
      <c r="AR85" s="405">
        <v>0</v>
      </c>
      <c r="AS85" s="405">
        <v>0</v>
      </c>
      <c r="AT85" s="405">
        <v>0</v>
      </c>
      <c r="AU85" s="405">
        <v>0</v>
      </c>
      <c r="AV85" s="82">
        <f>AV75</f>
        <v>61373.020125058254</v>
      </c>
      <c r="AW85" s="82">
        <f>IF('Customer Sector'!$L$29+$O$15&gt;=AW$15,AV85/(1+'Customer Sector'!$L$30),0)</f>
        <v>59585.456432095394</v>
      </c>
      <c r="AX85" s="82">
        <f>IF('Customer Sector'!$L$29+$O$15&gt;=AX$15,AW85/(1+'Customer Sector'!$L$30),0)</f>
        <v>57849.957701063489</v>
      </c>
      <c r="AY85" s="82">
        <f>IF('Customer Sector'!$L$29+$O$15&gt;=AY$15,AX85/(1+'Customer Sector'!$L$30),0)</f>
        <v>56165.007476760671</v>
      </c>
      <c r="AZ85" s="82">
        <f>IF('Customer Sector'!$L$29+$O$15&gt;=AZ$15,AY85/(1+'Customer Sector'!$L$30),0)</f>
        <v>54529.133472583177</v>
      </c>
      <c r="BA85" s="82">
        <f>IF('Customer Sector'!$L$29+$O$15&gt;=BA$15,AZ85/(1+'Customer Sector'!$L$30),0)</f>
        <v>52940.906284061333</v>
      </c>
      <c r="BB85" s="82">
        <f>IF('Customer Sector'!$L$29+$O$15&gt;=BB$15,BA85/(1+'Customer Sector'!$L$30),0)</f>
        <v>51398.938139865371</v>
      </c>
      <c r="BC85" s="82">
        <f>IF('Customer Sector'!$L$29+$O$15&gt;=BC$15,BB85/(1+'Customer Sector'!$L$30),0)</f>
        <v>49901.881689189679</v>
      </c>
      <c r="BD85" s="82">
        <f>IF('Customer Sector'!$L$29+$O$15&gt;=BD$15,BC85/(1+'Customer Sector'!$L$30),0)</f>
        <v>48448.428824455994</v>
      </c>
      <c r="BE85" s="82">
        <f>IF('Customer Sector'!$L$29+$O$15&gt;=BE$15,BD85/(1+'Customer Sector'!$L$30),0)</f>
        <v>47037.309538306792</v>
      </c>
      <c r="BF85" s="82">
        <f>IF('Customer Sector'!$L$29+$O$15&gt;=BF$15,BE85/(1+'Customer Sector'!$L$30),0)</f>
        <v>45667.290813890089</v>
      </c>
      <c r="BG85" s="82">
        <f>IF('Customer Sector'!$L$29+$O$15&gt;=BG$15,BF85/(1+'Customer Sector'!$L$30),0)</f>
        <v>44337.175547466104</v>
      </c>
      <c r="BH85" s="82">
        <f>IF('Customer Sector'!$L$29+$O$15&gt;=BH$15,BG85/(1+'Customer Sector'!$L$30),0)</f>
        <v>43045.801502394272</v>
      </c>
      <c r="BI85" s="82">
        <f>IF('Customer Sector'!$L$29+$O$15&gt;=BI$15,BH85/(1+'Customer Sector'!$L$30),0)</f>
        <v>41792.040293586673</v>
      </c>
      <c r="BJ85" s="82">
        <f>IF('Customer Sector'!$L$29+$O$15&gt;=BJ$15,BI85/(1+'Customer Sector'!$L$30),0)</f>
        <v>40574.796401540458</v>
      </c>
      <c r="BK85" s="82">
        <f>IF('Customer Sector'!$L$29+$O$15&gt;=BK$15,BJ85/(1+'Customer Sector'!$L$30),0)</f>
        <v>0</v>
      </c>
      <c r="BL85" s="83">
        <f>IF('Customer Sector'!$L$29+$O$15&gt;=BL$15,BK85/(1+'Customer Sector'!$L$30),0)</f>
        <v>0</v>
      </c>
    </row>
    <row r="86" spans="2:64" ht="15" hidden="1" customHeight="1" outlineLevel="1" x14ac:dyDescent="0.25">
      <c r="B86" s="4"/>
      <c r="C86" s="51"/>
      <c r="D86" s="51" t="s">
        <v>38</v>
      </c>
      <c r="E86" s="51"/>
      <c r="F86" s="52" t="s">
        <v>19</v>
      </c>
      <c r="G86" s="405">
        <v>0</v>
      </c>
      <c r="H86" s="405">
        <v>0</v>
      </c>
      <c r="I86" s="405">
        <v>0</v>
      </c>
      <c r="J86" s="405">
        <v>0</v>
      </c>
      <c r="K86" s="405">
        <v>0</v>
      </c>
      <c r="L86" s="405">
        <v>0</v>
      </c>
      <c r="M86" s="405">
        <v>0</v>
      </c>
      <c r="N86" s="405">
        <v>0</v>
      </c>
      <c r="O86" s="405">
        <v>0</v>
      </c>
      <c r="P86" s="405">
        <v>0</v>
      </c>
      <c r="Q86" s="82">
        <f ca="1">Q75</f>
        <v>10668.287907279657</v>
      </c>
      <c r="R86" s="82">
        <f ca="1">IF('Customer Sector'!$F$29+$P$15&gt;=R$15,Q86/(1+'Customer Sector'!$L$30),0)</f>
        <v>10357.561075028792</v>
      </c>
      <c r="S86" s="82">
        <f ca="1">IF('Customer Sector'!$F$29+$P$15&gt;=S$15,R86/(1+'Customer Sector'!$L$30),0)</f>
        <v>10055.884538862905</v>
      </c>
      <c r="T86" s="82">
        <f ca="1">IF('Customer Sector'!$F$29+$P$15&gt;=T$15,S86/(1+'Customer Sector'!$L$30),0)</f>
        <v>9762.9946979251508</v>
      </c>
      <c r="U86" s="82">
        <f ca="1">IF('Customer Sector'!$F$29+$P$15&gt;=U$15,T86/(1+'Customer Sector'!$L$30),0)</f>
        <v>9478.6356290535441</v>
      </c>
      <c r="V86" s="82">
        <f ca="1">IF('Customer Sector'!$F$29+$P$15&gt;=V$15,U86/(1+'Customer Sector'!$L$30),0)</f>
        <v>9202.5588631587798</v>
      </c>
      <c r="W86" s="82">
        <f ca="1">IF('Customer Sector'!$F$29+$P$15&gt;=W$15,V86/(1+'Customer Sector'!$L$30),0)</f>
        <v>8934.52316811532</v>
      </c>
      <c r="X86" s="82">
        <f ca="1">IF('Customer Sector'!$F$29+$P$15&gt;=X$15,W86/(1+'Customer Sector'!$L$30),0)</f>
        <v>8674.2943379760382</v>
      </c>
      <c r="Y86" s="82">
        <f ca="1">IF('Customer Sector'!$F$29+$P$15&gt;=Y$15,X86/(1+'Customer Sector'!$L$30),0)</f>
        <v>8421.6449883262503</v>
      </c>
      <c r="Z86" s="82">
        <f ca="1">IF('Customer Sector'!$F$29+$P$15&gt;=Z$15,Y86/(1+'Customer Sector'!$L$30),0)</f>
        <v>8176.3543575983012</v>
      </c>
      <c r="AA86" s="82">
        <f>IF('Customer Sector'!$F$29+$P$15&gt;=AA$15,Z86/(1+'Customer Sector'!$L$30),0)</f>
        <v>0</v>
      </c>
      <c r="AB86" s="82">
        <f>IF('Customer Sector'!$F$29+$P$15&gt;=AB$15,AA86/(1+'Customer Sector'!$L$30),0)</f>
        <v>0</v>
      </c>
      <c r="AC86" s="82">
        <f>IF('Customer Sector'!$F$29+$P$15&gt;=AC$15,AB86/(1+'Customer Sector'!$L$30),0)</f>
        <v>0</v>
      </c>
      <c r="AD86" s="82">
        <f>IF('Customer Sector'!$F$29+$P$15&gt;=AD$15,AC86/(1+'Customer Sector'!$L$30),0)</f>
        <v>0</v>
      </c>
      <c r="AE86" s="82">
        <f>IF('Customer Sector'!$F$29+$P$15&gt;=AE$15,AD86/(1+'Customer Sector'!$L$30),0)</f>
        <v>0</v>
      </c>
      <c r="AF86" s="82">
        <f>IF('Customer Sector'!$F$29+$P$15&gt;=AF$15,AE86/(1+'Customer Sector'!$L$30),0)</f>
        <v>0</v>
      </c>
      <c r="AH86" s="4"/>
      <c r="AI86" s="51"/>
      <c r="AJ86" s="430" t="s">
        <v>38</v>
      </c>
      <c r="AK86" s="51"/>
      <c r="AL86" s="52" t="s">
        <v>19</v>
      </c>
      <c r="AM86" s="405">
        <v>0</v>
      </c>
      <c r="AN86" s="405">
        <v>0</v>
      </c>
      <c r="AO86" s="405">
        <v>0</v>
      </c>
      <c r="AP86" s="405">
        <v>0</v>
      </c>
      <c r="AQ86" s="405">
        <v>0</v>
      </c>
      <c r="AR86" s="405">
        <v>0</v>
      </c>
      <c r="AS86" s="405">
        <v>0</v>
      </c>
      <c r="AT86" s="405">
        <v>0</v>
      </c>
      <c r="AU86" s="405">
        <v>0</v>
      </c>
      <c r="AV86" s="405">
        <v>0</v>
      </c>
      <c r="AW86" s="82">
        <f>AW75</f>
        <v>62170.869386684004</v>
      </c>
      <c r="AX86" s="82">
        <f>IF('Customer Sector'!$L$29+$P$15&gt;=AX$15,AW86/(1+'Customer Sector'!$L$30),0)</f>
        <v>60360.067365712624</v>
      </c>
      <c r="AY86" s="82">
        <f>IF('Customer Sector'!$L$29+$P$15&gt;=AY$15,AX86/(1+'Customer Sector'!$L$30),0)</f>
        <v>58602.007151177306</v>
      </c>
      <c r="AZ86" s="82">
        <f>IF('Customer Sector'!$L$29+$P$15&gt;=AZ$15,AY86/(1+'Customer Sector'!$L$30),0)</f>
        <v>56895.152573958549</v>
      </c>
      <c r="BA86" s="82">
        <f>IF('Customer Sector'!$L$29+$P$15&gt;=BA$15,AZ86/(1+'Customer Sector'!$L$30),0)</f>
        <v>55238.012207726744</v>
      </c>
      <c r="BB86" s="82">
        <f>IF('Customer Sector'!$L$29+$P$15&gt;=BB$15,BA86/(1+'Customer Sector'!$L$30),0)</f>
        <v>53629.138065754116</v>
      </c>
      <c r="BC86" s="82">
        <f>IF('Customer Sector'!$L$29+$P$15&gt;=BC$15,BB86/(1+'Customer Sector'!$L$30),0)</f>
        <v>52067.124335683606</v>
      </c>
      <c r="BD86" s="82">
        <f>IF('Customer Sector'!$L$29+$P$15&gt;=BD$15,BC86/(1+'Customer Sector'!$L$30),0)</f>
        <v>50550.606151149128</v>
      </c>
      <c r="BE86" s="82">
        <f>IF('Customer Sector'!$L$29+$P$15&gt;=BE$15,BD86/(1+'Customer Sector'!$L$30),0)</f>
        <v>49078.258399173908</v>
      </c>
      <c r="BF86" s="82">
        <f>IF('Customer Sector'!$L$29+$P$15&gt;=BF$15,BE86/(1+'Customer Sector'!$L$30),0)</f>
        <v>47648.794562304764</v>
      </c>
      <c r="BG86" s="82">
        <f>IF('Customer Sector'!$L$29+$P$15&gt;=BG$15,BF86/(1+'Customer Sector'!$L$30),0)</f>
        <v>46260.965594470646</v>
      </c>
      <c r="BH86" s="82">
        <f>IF('Customer Sector'!$L$29+$P$15&gt;=BH$15,BG86/(1+'Customer Sector'!$L$30),0)</f>
        <v>44913.558829583148</v>
      </c>
      <c r="BI86" s="82">
        <f>IF('Customer Sector'!$L$29+$P$15&gt;=BI$15,BH86/(1+'Customer Sector'!$L$30),0)</f>
        <v>43605.396921925385</v>
      </c>
      <c r="BJ86" s="82">
        <f>IF('Customer Sector'!$L$29+$P$15&gt;=BJ$15,BI86/(1+'Customer Sector'!$L$30),0)</f>
        <v>42335.336817403288</v>
      </c>
      <c r="BK86" s="82">
        <f>IF('Customer Sector'!$L$29+$P$15&gt;=BK$15,BJ86/(1+'Customer Sector'!$L$30),0)</f>
        <v>41102.268754760473</v>
      </c>
      <c r="BL86" s="429">
        <f>IF('Customer Sector'!$L$29+$P$15&gt;=BL$15,BK86/(1+'Customer Sector'!$L$30),0)</f>
        <v>0</v>
      </c>
    </row>
    <row r="87" spans="2:64" collapsed="1" x14ac:dyDescent="0.25">
      <c r="B87" s="738" t="s">
        <v>145</v>
      </c>
      <c r="C87" s="739"/>
      <c r="D87" s="739"/>
      <c r="E87" s="739"/>
      <c r="F87" s="739"/>
      <c r="G87" s="739"/>
      <c r="H87" s="739"/>
      <c r="I87" s="739"/>
      <c r="J87" s="739"/>
      <c r="K87" s="739"/>
      <c r="L87" s="739"/>
      <c r="M87" s="211"/>
      <c r="N87" s="211"/>
      <c r="O87" s="211"/>
      <c r="P87" s="211"/>
      <c r="Q87" s="212"/>
      <c r="R87" s="261"/>
      <c r="S87" s="262"/>
      <c r="T87" s="262"/>
      <c r="U87" s="262"/>
      <c r="V87" s="262"/>
      <c r="W87" s="262"/>
      <c r="X87" s="262"/>
      <c r="Y87" s="262"/>
      <c r="Z87" s="262"/>
      <c r="AA87" s="262"/>
      <c r="AB87" s="262"/>
      <c r="AC87" s="262"/>
      <c r="AD87" s="262"/>
      <c r="AE87" s="262"/>
      <c r="AF87" s="262"/>
      <c r="AH87" s="738" t="s">
        <v>145</v>
      </c>
      <c r="AI87" s="739"/>
      <c r="AJ87" s="739"/>
      <c r="AK87" s="739"/>
      <c r="AL87" s="739"/>
      <c r="AM87" s="739"/>
      <c r="AN87" s="739"/>
      <c r="AO87" s="739"/>
      <c r="AP87" s="739"/>
      <c r="AQ87" s="739"/>
      <c r="AR87" s="739"/>
      <c r="AS87" s="211"/>
      <c r="AT87" s="211"/>
      <c r="AU87" s="211"/>
      <c r="AV87" s="211"/>
      <c r="AW87" s="212"/>
      <c r="AX87" s="261"/>
      <c r="AY87" s="262"/>
      <c r="AZ87" s="262"/>
      <c r="BA87" s="262"/>
      <c r="BB87" s="262"/>
      <c r="BC87" s="262"/>
      <c r="BD87" s="262"/>
      <c r="BE87" s="262"/>
      <c r="BF87" s="262"/>
      <c r="BG87" s="262"/>
      <c r="BH87" s="262"/>
      <c r="BI87" s="262"/>
      <c r="BJ87" s="262"/>
      <c r="BK87" s="262"/>
      <c r="BL87" s="262"/>
    </row>
    <row r="88" spans="2:64" x14ac:dyDescent="0.25">
      <c r="B88" s="15" t="s">
        <v>146</v>
      </c>
      <c r="C88" s="148"/>
      <c r="D88" s="148"/>
      <c r="E88" s="16"/>
      <c r="F88" s="109"/>
      <c r="G88" s="32">
        <f>IF('Utility Sector'!$E$82,G89,1)</f>
        <v>1</v>
      </c>
      <c r="H88" s="32">
        <f>IF('Utility Sector'!$E$82,H89,1)</f>
        <v>1</v>
      </c>
      <c r="I88" s="32">
        <f>IF('Utility Sector'!$E$82,I89,1)</f>
        <v>1</v>
      </c>
      <c r="J88" s="32">
        <f>IF('Utility Sector'!$E$82,J89,1)</f>
        <v>1</v>
      </c>
      <c r="K88" s="32">
        <f>IF('Utility Sector'!$E$82,K89,1)</f>
        <v>1</v>
      </c>
      <c r="L88" s="32">
        <f>IF('Utility Sector'!$E$82,L89,1)</f>
        <v>1</v>
      </c>
      <c r="M88" s="32">
        <f>IF('Utility Sector'!$E$82,M89,1)</f>
        <v>1</v>
      </c>
      <c r="N88" s="32">
        <f>IF('Utility Sector'!$E$82,N89,1)</f>
        <v>1</v>
      </c>
      <c r="O88" s="32">
        <f>IF('Utility Sector'!$E$82,O89,1)</f>
        <v>1</v>
      </c>
      <c r="P88" s="32">
        <f>IF('Utility Sector'!$E$82,P89,1)</f>
        <v>1</v>
      </c>
      <c r="Q88" s="32">
        <f>IF('Utility Sector'!$E$82,Q89,1)</f>
        <v>1</v>
      </c>
      <c r="R88" s="32">
        <f>IF('Utility Sector'!$E$82,R89,1)</f>
        <v>1</v>
      </c>
      <c r="S88" s="32">
        <f>IF('Utility Sector'!$E$82,S89,1)</f>
        <v>1</v>
      </c>
      <c r="T88" s="32">
        <f>IF('Utility Sector'!$E$82,T89,1)</f>
        <v>1</v>
      </c>
      <c r="U88" s="32">
        <f>IF('Utility Sector'!$E$82,U89,1)</f>
        <v>1</v>
      </c>
      <c r="V88" s="32">
        <f>IF('Utility Sector'!$E$82,V89,1)</f>
        <v>1</v>
      </c>
      <c r="W88" s="32">
        <f>IF('Utility Sector'!$E$82,W89,1)</f>
        <v>1</v>
      </c>
      <c r="X88" s="32">
        <f>IF('Utility Sector'!$E$82,X89,1)</f>
        <v>1</v>
      </c>
      <c r="Y88" s="32">
        <f>IF('Utility Sector'!$E$82,Y89,1)</f>
        <v>1</v>
      </c>
      <c r="Z88" s="32">
        <f>IF('Utility Sector'!$E$82,Z89,1)</f>
        <v>1</v>
      </c>
      <c r="AA88" s="32">
        <f>IF('Utility Sector'!$E$82,AA89,1)</f>
        <v>1</v>
      </c>
      <c r="AB88" s="32">
        <f>IF('Utility Sector'!$E$82,AB89,1)</f>
        <v>1</v>
      </c>
      <c r="AC88" s="32">
        <f>IF('Utility Sector'!$E$82,AC89,1)</f>
        <v>1</v>
      </c>
      <c r="AD88" s="32">
        <f>IF('Utility Sector'!$E$82,AD89,1)</f>
        <v>1</v>
      </c>
      <c r="AE88" s="32">
        <f>IF('Utility Sector'!$E$82,AE89,1)</f>
        <v>1</v>
      </c>
      <c r="AF88" s="77">
        <f>IF('Utility Sector'!$E$82,AF89,1)</f>
        <v>1</v>
      </c>
      <c r="AH88" s="15" t="s">
        <v>146</v>
      </c>
      <c r="AI88" s="148"/>
      <c r="AJ88" s="148"/>
      <c r="AK88" s="16"/>
      <c r="AL88" s="109" t="s">
        <v>31</v>
      </c>
      <c r="AM88" s="32">
        <f>IF('Utility Sector'!$E$82,AM89,1)</f>
        <v>1</v>
      </c>
      <c r="AN88" s="32">
        <f>IF('Utility Sector'!$E$82,AN89,1)</f>
        <v>1</v>
      </c>
      <c r="AO88" s="32">
        <f>IF('Utility Sector'!$E$82,AO89,1)</f>
        <v>1</v>
      </c>
      <c r="AP88" s="32">
        <f>IF('Utility Sector'!$E$82,AP89,1)</f>
        <v>1</v>
      </c>
      <c r="AQ88" s="32">
        <f>IF('Utility Sector'!$E$82,AQ89,1)</f>
        <v>1</v>
      </c>
      <c r="AR88" s="32">
        <f>IF('Utility Sector'!$E$82,AR89,1)</f>
        <v>1</v>
      </c>
      <c r="AS88" s="32">
        <f>IF('Utility Sector'!$E$82,AS89,1)</f>
        <v>1</v>
      </c>
      <c r="AT88" s="32">
        <f>IF('Utility Sector'!$E$82,AT89,1)</f>
        <v>1</v>
      </c>
      <c r="AU88" s="32">
        <f>IF('Utility Sector'!$E$82,AU89,1)</f>
        <v>1</v>
      </c>
      <c r="AV88" s="32">
        <f>IF('Utility Sector'!$E$82,AV89,1)</f>
        <v>1</v>
      </c>
      <c r="AW88" s="32">
        <f>IF('Utility Sector'!$E$82,AW89,1)</f>
        <v>1</v>
      </c>
      <c r="AX88" s="32">
        <f>IF('Utility Sector'!$E$82,AX89,1)</f>
        <v>1</v>
      </c>
      <c r="AY88" s="32">
        <f>IF('Utility Sector'!$E$82,AY89,1)</f>
        <v>1</v>
      </c>
      <c r="AZ88" s="32">
        <f>IF('Utility Sector'!$E$82,AZ89,1)</f>
        <v>1</v>
      </c>
      <c r="BA88" s="32">
        <f>IF('Utility Sector'!$E$82,BA89,1)</f>
        <v>1</v>
      </c>
      <c r="BB88" s="32">
        <f>IF('Utility Sector'!$E$82,BB89,1)</f>
        <v>1</v>
      </c>
      <c r="BC88" s="32">
        <f>IF('Utility Sector'!$E$82,BC89,1)</f>
        <v>1</v>
      </c>
      <c r="BD88" s="32">
        <f>IF('Utility Sector'!$E$82,BD89,1)</f>
        <v>1</v>
      </c>
      <c r="BE88" s="32">
        <f>IF('Utility Sector'!$E$82,BE89,1)</f>
        <v>1</v>
      </c>
      <c r="BF88" s="32">
        <f>IF('Utility Sector'!$E$82,BF89,1)</f>
        <v>1</v>
      </c>
      <c r="BG88" s="32">
        <f>IF('Utility Sector'!$E$82,BG89,1)</f>
        <v>1</v>
      </c>
      <c r="BH88" s="32">
        <f>IF('Utility Sector'!$E$82,BH89,1)</f>
        <v>1</v>
      </c>
      <c r="BI88" s="32">
        <f>IF('Utility Sector'!$E$82,BI89,1)</f>
        <v>1</v>
      </c>
      <c r="BJ88" s="32">
        <f>IF('Utility Sector'!$E$82,BJ89,1)</f>
        <v>1</v>
      </c>
      <c r="BK88" s="32">
        <f>IF('Utility Sector'!$E$82,BK89,1)</f>
        <v>1</v>
      </c>
      <c r="BL88" s="77">
        <f>IF('Utility Sector'!$E$82,BL89,1)</f>
        <v>1</v>
      </c>
    </row>
    <row r="89" spans="2:64" x14ac:dyDescent="0.25">
      <c r="B89" s="23" t="s">
        <v>151</v>
      </c>
      <c r="C89" s="351"/>
      <c r="D89" s="351"/>
      <c r="E89" s="9"/>
      <c r="F89" s="288"/>
      <c r="G89" s="11">
        <f>IF(ROUND((G15-'Utility Sector'!$E$83)/'Utility Sector'!$E$84,0)*'Utility Sector'!$E$84=G15,1,0)</f>
        <v>1</v>
      </c>
      <c r="H89" s="11">
        <f>IF(ROUND((H15-'Utility Sector'!$E$83)/'Utility Sector'!$E$84,0)*'Utility Sector'!$E$84=H15,1,0)</f>
        <v>1</v>
      </c>
      <c r="I89" s="11">
        <f>IF(ROUND((I15-'Utility Sector'!$E$83)/'Utility Sector'!$E$84,0)*'Utility Sector'!$E$84=I15,1,0)</f>
        <v>1</v>
      </c>
      <c r="J89" s="11">
        <f>IF(ROUND((J15-'Utility Sector'!$E$83)/'Utility Sector'!$E$84,0)*'Utility Sector'!$E$84=J15,1,0)</f>
        <v>1</v>
      </c>
      <c r="K89" s="11">
        <f>IF(ROUND((K15-'Utility Sector'!$E$83)/'Utility Sector'!$E$84,0)*'Utility Sector'!$E$84=K15,1,0)</f>
        <v>1</v>
      </c>
      <c r="L89" s="11">
        <f>IF(ROUND((L15-'Utility Sector'!$E$83)/'Utility Sector'!$E$84,0)*'Utility Sector'!$E$84=L15,1,0)</f>
        <v>1</v>
      </c>
      <c r="M89" s="11">
        <f>IF(ROUND((M15-'Utility Sector'!$E$83)/'Utility Sector'!$E$84,0)*'Utility Sector'!$E$84=M15,1,0)</f>
        <v>1</v>
      </c>
      <c r="N89" s="11">
        <f>IF(ROUND((N15-'Utility Sector'!$E$83)/'Utility Sector'!$E$84,0)*'Utility Sector'!$E$84=N15,1,0)</f>
        <v>1</v>
      </c>
      <c r="O89" s="11">
        <f>IF(ROUND((O15-'Utility Sector'!$E$83)/'Utility Sector'!$E$84,0)*'Utility Sector'!$E$84=O15,1,0)</f>
        <v>1</v>
      </c>
      <c r="P89" s="11">
        <f>IF(ROUND((P15-'Utility Sector'!$E$83)/'Utility Sector'!$E$84,0)*'Utility Sector'!$E$84=P15,1,0)</f>
        <v>1</v>
      </c>
      <c r="Q89" s="11">
        <f>IF(ROUND((Q15-'Utility Sector'!$E$83)/'Utility Sector'!$E$84,0)*'Utility Sector'!$E$84=Q15,1,0)</f>
        <v>1</v>
      </c>
      <c r="R89" s="11">
        <f>IF(ROUND((R15-'Utility Sector'!$E$83)/'Utility Sector'!$E$84,0)*'Utility Sector'!$E$84=R15,1,0)</f>
        <v>1</v>
      </c>
      <c r="S89" s="11">
        <f>IF(ROUND((S15-'Utility Sector'!$E$83)/'Utility Sector'!$E$84,0)*'Utility Sector'!$E$84=S15,1,0)</f>
        <v>1</v>
      </c>
      <c r="T89" s="11">
        <f>IF(ROUND((T15-'Utility Sector'!$E$83)/'Utility Sector'!$E$84,0)*'Utility Sector'!$E$84=T15,1,0)</f>
        <v>1</v>
      </c>
      <c r="U89" s="11">
        <f>IF(ROUND((U15-'Utility Sector'!$E$83)/'Utility Sector'!$E$84,0)*'Utility Sector'!$E$84=U15,1,0)</f>
        <v>1</v>
      </c>
      <c r="V89" s="11">
        <f>IF(ROUND((V15-'Utility Sector'!$E$83)/'Utility Sector'!$E$84,0)*'Utility Sector'!$E$84=V15,1,0)</f>
        <v>1</v>
      </c>
      <c r="W89" s="11">
        <f>IF(ROUND((W15-'Utility Sector'!$E$83)/'Utility Sector'!$E$84,0)*'Utility Sector'!$E$84=W15,1,0)</f>
        <v>1</v>
      </c>
      <c r="X89" s="11">
        <f>IF(ROUND((X15-'Utility Sector'!$E$83)/'Utility Sector'!$E$84,0)*'Utility Sector'!$E$84=X15,1,0)</f>
        <v>1</v>
      </c>
      <c r="Y89" s="11">
        <f>IF(ROUND((Y15-'Utility Sector'!$E$83)/'Utility Sector'!$E$84,0)*'Utility Sector'!$E$84=Y15,1,0)</f>
        <v>1</v>
      </c>
      <c r="Z89" s="11">
        <f>IF(ROUND((Z15-'Utility Sector'!$E$83)/'Utility Sector'!$E$84,0)*'Utility Sector'!$E$84=Z15,1,0)</f>
        <v>1</v>
      </c>
      <c r="AA89" s="11">
        <f>IF(ROUND((AA15-'Utility Sector'!$E$83)/'Utility Sector'!$E$84,0)*'Utility Sector'!$E$84=AA15,1,0)</f>
        <v>1</v>
      </c>
      <c r="AB89" s="11">
        <f>IF(ROUND((AB15-'Utility Sector'!$E$83)/'Utility Sector'!$E$84,0)*'Utility Sector'!$E$84=AB15,1,0)</f>
        <v>1</v>
      </c>
      <c r="AC89" s="11">
        <f>IF(ROUND((AC15-'Utility Sector'!$E$83)/'Utility Sector'!$E$84,0)*'Utility Sector'!$E$84=AC15,1,0)</f>
        <v>1</v>
      </c>
      <c r="AD89" s="11">
        <f>IF(ROUND((AD15-'Utility Sector'!$E$83)/'Utility Sector'!$E$84,0)*'Utility Sector'!$E$84=AD15,1,0)</f>
        <v>1</v>
      </c>
      <c r="AE89" s="11">
        <f>IF(ROUND((AE15-'Utility Sector'!$E$83)/'Utility Sector'!$E$84,0)*'Utility Sector'!$E$84=AE15,1,0)</f>
        <v>1</v>
      </c>
      <c r="AF89" s="20">
        <f>IF(ROUND((AF15-'Utility Sector'!$E$83)/'Utility Sector'!$E$84,0)*'Utility Sector'!$E$84=AF15,1,0)</f>
        <v>1</v>
      </c>
      <c r="AH89" s="150" t="s">
        <v>151</v>
      </c>
      <c r="AI89" s="149"/>
      <c r="AJ89" s="149"/>
      <c r="AK89" s="138"/>
      <c r="AL89" s="35" t="s">
        <v>31</v>
      </c>
      <c r="AM89" s="29">
        <f>IF(ROUND((AM15-'Utility Sector'!$E$83)/'Utility Sector'!$E$84,0)*'Utility Sector'!$E$84=AM15,1,0)</f>
        <v>1</v>
      </c>
      <c r="AN89" s="29">
        <f>IF(ROUND((AN15-'Utility Sector'!$E$83)/'Utility Sector'!$E$84,0)*'Utility Sector'!$E$84=AN15,1,0)</f>
        <v>1</v>
      </c>
      <c r="AO89" s="29">
        <f>IF(ROUND((AO15-'Utility Sector'!$E$83)/'Utility Sector'!$E$84,0)*'Utility Sector'!$E$84=AO15,1,0)</f>
        <v>1</v>
      </c>
      <c r="AP89" s="29">
        <f>IF(ROUND((AP15-'Utility Sector'!$E$83)/'Utility Sector'!$E$84,0)*'Utility Sector'!$E$84=AP15,1,0)</f>
        <v>1</v>
      </c>
      <c r="AQ89" s="29">
        <f>IF(ROUND((AQ15-'Utility Sector'!$E$83)/'Utility Sector'!$E$84,0)*'Utility Sector'!$E$84=AQ15,1,0)</f>
        <v>1</v>
      </c>
      <c r="AR89" s="29">
        <f>IF(ROUND((AR15-'Utility Sector'!$E$83)/'Utility Sector'!$E$84,0)*'Utility Sector'!$E$84=AR15,1,0)</f>
        <v>1</v>
      </c>
      <c r="AS89" s="29">
        <f>IF(ROUND((AS15-'Utility Sector'!$E$83)/'Utility Sector'!$E$84,0)*'Utility Sector'!$E$84=AS15,1,0)</f>
        <v>1</v>
      </c>
      <c r="AT89" s="29">
        <f>IF(ROUND((AT15-'Utility Sector'!$E$83)/'Utility Sector'!$E$84,0)*'Utility Sector'!$E$84=AT15,1,0)</f>
        <v>1</v>
      </c>
      <c r="AU89" s="29">
        <f>IF(ROUND((AU15-'Utility Sector'!$E$83)/'Utility Sector'!$E$84,0)*'Utility Sector'!$E$84=AU15,1,0)</f>
        <v>1</v>
      </c>
      <c r="AV89" s="29">
        <f>IF(ROUND((AV15-'Utility Sector'!$E$83)/'Utility Sector'!$E$84,0)*'Utility Sector'!$E$84=AV15,1,0)</f>
        <v>1</v>
      </c>
      <c r="AW89" s="29">
        <f>IF(ROUND((AW15-'Utility Sector'!$E$83)/'Utility Sector'!$E$84,0)*'Utility Sector'!$E$84=AW15,1,0)</f>
        <v>1</v>
      </c>
      <c r="AX89" s="29">
        <f>IF(ROUND((AX15-'Utility Sector'!$E$83)/'Utility Sector'!$E$84,0)*'Utility Sector'!$E$84=AX15,1,0)</f>
        <v>1</v>
      </c>
      <c r="AY89" s="29">
        <f>IF(ROUND((AY15-'Utility Sector'!$E$83)/'Utility Sector'!$E$84,0)*'Utility Sector'!$E$84=AY15,1,0)</f>
        <v>1</v>
      </c>
      <c r="AZ89" s="29">
        <f>IF(ROUND((AZ15-'Utility Sector'!$E$83)/'Utility Sector'!$E$84,0)*'Utility Sector'!$E$84=AZ15,1,0)</f>
        <v>1</v>
      </c>
      <c r="BA89" s="29">
        <f>IF(ROUND((BA15-'Utility Sector'!$E$83)/'Utility Sector'!$E$84,0)*'Utility Sector'!$E$84=BA15,1,0)</f>
        <v>1</v>
      </c>
      <c r="BB89" s="29">
        <f>IF(ROUND((BB15-'Utility Sector'!$E$83)/'Utility Sector'!$E$84,0)*'Utility Sector'!$E$84=BB15,1,0)</f>
        <v>1</v>
      </c>
      <c r="BC89" s="29">
        <f>IF(ROUND((BC15-'Utility Sector'!$E$83)/'Utility Sector'!$E$84,0)*'Utility Sector'!$E$84=BC15,1,0)</f>
        <v>1</v>
      </c>
      <c r="BD89" s="29">
        <f>IF(ROUND((BD15-'Utility Sector'!$E$83)/'Utility Sector'!$E$84,0)*'Utility Sector'!$E$84=BD15,1,0)</f>
        <v>1</v>
      </c>
      <c r="BE89" s="29">
        <f>IF(ROUND((BE15-'Utility Sector'!$E$83)/'Utility Sector'!$E$84,0)*'Utility Sector'!$E$84=BE15,1,0)</f>
        <v>1</v>
      </c>
      <c r="BF89" s="29">
        <f>IF(ROUND((BF15-'Utility Sector'!$E$83)/'Utility Sector'!$E$84,0)*'Utility Sector'!$E$84=BF15,1,0)</f>
        <v>1</v>
      </c>
      <c r="BG89" s="29">
        <f>IF(ROUND((BG15-'Utility Sector'!$E$83)/'Utility Sector'!$E$84,0)*'Utility Sector'!$E$84=BG15,1,0)</f>
        <v>1</v>
      </c>
      <c r="BH89" s="29">
        <f>IF(ROUND((BH15-'Utility Sector'!$E$83)/'Utility Sector'!$E$84,0)*'Utility Sector'!$E$84=BH15,1,0)</f>
        <v>1</v>
      </c>
      <c r="BI89" s="29">
        <f>IF(ROUND((BI15-'Utility Sector'!$E$83)/'Utility Sector'!$E$84,0)*'Utility Sector'!$E$84=BI15,1,0)</f>
        <v>1</v>
      </c>
      <c r="BJ89" s="29">
        <f>IF(ROUND((BJ15-'Utility Sector'!$E$83)/'Utility Sector'!$E$84,0)*'Utility Sector'!$E$84=BJ15,1,0)</f>
        <v>1</v>
      </c>
      <c r="BK89" s="29">
        <f>IF(ROUND((BK15-'Utility Sector'!$E$83)/'Utility Sector'!$E$84,0)*'Utility Sector'!$E$84=BK15,1,0)</f>
        <v>1</v>
      </c>
      <c r="BL89" s="30">
        <f>IF(ROUND((BL15-'Utility Sector'!$E$83)/'Utility Sector'!$E$84,0)*'Utility Sector'!$E$84=BL15,1,0)</f>
        <v>1</v>
      </c>
    </row>
    <row r="90" spans="2:64" x14ac:dyDescent="0.25">
      <c r="B90" s="738" t="s">
        <v>373</v>
      </c>
      <c r="C90" s="739"/>
      <c r="D90" s="739"/>
      <c r="E90" s="739"/>
      <c r="F90" s="739"/>
      <c r="G90" s="739"/>
      <c r="H90" s="739"/>
      <c r="I90" s="739"/>
      <c r="J90" s="739"/>
      <c r="K90" s="739"/>
      <c r="L90" s="739"/>
      <c r="M90" s="346"/>
      <c r="N90" s="346"/>
      <c r="O90" s="346"/>
      <c r="P90" s="346"/>
      <c r="Q90" s="346"/>
      <c r="R90" s="352"/>
      <c r="S90" s="353"/>
      <c r="T90" s="353"/>
      <c r="U90" s="353"/>
      <c r="V90" s="353"/>
      <c r="W90" s="353"/>
      <c r="X90" s="353"/>
      <c r="Y90" s="353"/>
      <c r="Z90" s="353"/>
      <c r="AA90" s="353"/>
      <c r="AB90" s="353"/>
      <c r="AC90" s="353"/>
      <c r="AD90" s="353"/>
      <c r="AE90" s="353"/>
      <c r="AF90" s="353"/>
      <c r="AH90" s="738" t="s">
        <v>373</v>
      </c>
      <c r="AI90" s="739"/>
      <c r="AJ90" s="739"/>
      <c r="AK90" s="739"/>
      <c r="AL90" s="739"/>
      <c r="AM90" s="739"/>
      <c r="AN90" s="739"/>
      <c r="AO90" s="739"/>
      <c r="AP90" s="739"/>
      <c r="AQ90" s="739"/>
      <c r="AR90" s="739"/>
      <c r="AS90" s="346"/>
      <c r="AT90" s="346"/>
      <c r="AU90" s="346"/>
      <c r="AV90" s="346"/>
      <c r="AW90" s="346"/>
      <c r="AX90" s="352"/>
      <c r="AY90" s="353"/>
      <c r="AZ90" s="353"/>
      <c r="BA90" s="353"/>
      <c r="BB90" s="353"/>
      <c r="BC90" s="353"/>
      <c r="BD90" s="353"/>
      <c r="BE90" s="353"/>
      <c r="BF90" s="353"/>
      <c r="BG90" s="353"/>
      <c r="BH90" s="353"/>
      <c r="BI90" s="353"/>
      <c r="BJ90" s="353"/>
      <c r="BK90" s="353"/>
      <c r="BL90" s="353"/>
    </row>
    <row r="91" spans="2:64" x14ac:dyDescent="0.25">
      <c r="B91" s="23" t="s">
        <v>374</v>
      </c>
      <c r="C91" s="351"/>
      <c r="D91" s="351"/>
      <c r="E91" s="9"/>
      <c r="F91" s="288" t="s">
        <v>8</v>
      </c>
      <c r="G91" s="355">
        <v>0</v>
      </c>
      <c r="H91" s="355">
        <f>(H7+H8)/H58</f>
        <v>6.9727328247562871E-4</v>
      </c>
      <c r="I91" s="355">
        <f t="shared" ref="I91:AF91" si="73">(I7+I8)/I58</f>
        <v>7.100436446132232E-4</v>
      </c>
      <c r="J91" s="355">
        <f t="shared" si="73"/>
        <v>7.2304774973297784E-4</v>
      </c>
      <c r="K91" s="355">
        <f t="shared" si="73"/>
        <v>7.3628987759257109E-4</v>
      </c>
      <c r="L91" s="355">
        <f t="shared" si="73"/>
        <v>7.4977438641383911E-4</v>
      </c>
      <c r="M91" s="355">
        <f t="shared" si="73"/>
        <v>7.6350571432446496E-4</v>
      </c>
      <c r="N91" s="355">
        <f t="shared" si="73"/>
        <v>7.7748838082623145E-4</v>
      </c>
      <c r="O91" s="355">
        <f t="shared" si="73"/>
        <v>7.9172698829032683E-4</v>
      </c>
      <c r="P91" s="355">
        <f t="shared" si="73"/>
        <v>8.0622622348020597E-4</v>
      </c>
      <c r="Q91" s="355">
        <f t="shared" si="73"/>
        <v>8.2099085910251445E-4</v>
      </c>
      <c r="R91" s="355">
        <f t="shared" si="73"/>
        <v>0</v>
      </c>
      <c r="S91" s="355">
        <f t="shared" si="73"/>
        <v>0</v>
      </c>
      <c r="T91" s="355">
        <f t="shared" si="73"/>
        <v>0</v>
      </c>
      <c r="U91" s="355">
        <f t="shared" si="73"/>
        <v>0</v>
      </c>
      <c r="V91" s="355">
        <f t="shared" si="73"/>
        <v>0</v>
      </c>
      <c r="W91" s="355">
        <f t="shared" si="73"/>
        <v>0</v>
      </c>
      <c r="X91" s="355">
        <f t="shared" si="73"/>
        <v>0</v>
      </c>
      <c r="Y91" s="355">
        <f t="shared" si="73"/>
        <v>0</v>
      </c>
      <c r="Z91" s="355">
        <f t="shared" si="73"/>
        <v>0</v>
      </c>
      <c r="AA91" s="355">
        <f t="shared" si="73"/>
        <v>0</v>
      </c>
      <c r="AB91" s="355">
        <f t="shared" si="73"/>
        <v>0</v>
      </c>
      <c r="AC91" s="355">
        <f t="shared" si="73"/>
        <v>0</v>
      </c>
      <c r="AD91" s="355">
        <f t="shared" si="73"/>
        <v>0</v>
      </c>
      <c r="AE91" s="355">
        <f t="shared" si="73"/>
        <v>0</v>
      </c>
      <c r="AF91" s="356">
        <f t="shared" si="73"/>
        <v>0</v>
      </c>
      <c r="AH91" s="23" t="s">
        <v>374</v>
      </c>
      <c r="AI91" s="351"/>
      <c r="AJ91" s="351"/>
      <c r="AK91" s="9"/>
      <c r="AL91" s="288" t="s">
        <v>8</v>
      </c>
      <c r="AM91" s="355">
        <v>0</v>
      </c>
      <c r="AN91" s="355">
        <f t="shared" ref="AN91:BL91" si="74">AN7/AN58</f>
        <v>2.4484389404384044E-4</v>
      </c>
      <c r="AO91" s="355">
        <f t="shared" si="74"/>
        <v>2.5019523744939135E-4</v>
      </c>
      <c r="AP91" s="355">
        <f t="shared" si="74"/>
        <v>2.5573329203229349E-4</v>
      </c>
      <c r="AQ91" s="355">
        <f t="shared" si="74"/>
        <v>2.6146988436329512E-4</v>
      </c>
      <c r="AR91" s="355">
        <f t="shared" si="74"/>
        <v>2.6741793980497743E-4</v>
      </c>
      <c r="AS91" s="355">
        <f t="shared" si="74"/>
        <v>2.7359161130024751E-4</v>
      </c>
      <c r="AT91" s="355">
        <f t="shared" si="74"/>
        <v>2.8000642649013858E-4</v>
      </c>
      <c r="AU91" s="355">
        <f t="shared" si="74"/>
        <v>2.8667945627565438E-4</v>
      </c>
      <c r="AV91" s="355">
        <f t="shared" si="74"/>
        <v>2.9362950855908601E-4</v>
      </c>
      <c r="AW91" s="355">
        <f t="shared" si="74"/>
        <v>3.0087735166367763E-4</v>
      </c>
      <c r="AX91" s="355">
        <f t="shared" si="74"/>
        <v>0</v>
      </c>
      <c r="AY91" s="355">
        <f t="shared" si="74"/>
        <v>0</v>
      </c>
      <c r="AZ91" s="355">
        <f t="shared" si="74"/>
        <v>0</v>
      </c>
      <c r="BA91" s="355">
        <f t="shared" si="74"/>
        <v>0</v>
      </c>
      <c r="BB91" s="355">
        <f t="shared" si="74"/>
        <v>0</v>
      </c>
      <c r="BC91" s="355">
        <f t="shared" si="74"/>
        <v>0</v>
      </c>
      <c r="BD91" s="355">
        <f t="shared" si="74"/>
        <v>0</v>
      </c>
      <c r="BE91" s="355">
        <f t="shared" si="74"/>
        <v>0</v>
      </c>
      <c r="BF91" s="355">
        <f t="shared" si="74"/>
        <v>0</v>
      </c>
      <c r="BG91" s="355">
        <f t="shared" si="74"/>
        <v>0</v>
      </c>
      <c r="BH91" s="355">
        <f t="shared" si="74"/>
        <v>0</v>
      </c>
      <c r="BI91" s="355">
        <f t="shared" si="74"/>
        <v>0</v>
      </c>
      <c r="BJ91" s="355">
        <f t="shared" si="74"/>
        <v>0</v>
      </c>
      <c r="BK91" s="355">
        <f t="shared" si="74"/>
        <v>0</v>
      </c>
      <c r="BL91" s="356">
        <f t="shared" si="74"/>
        <v>0</v>
      </c>
    </row>
    <row r="92" spans="2:64" x14ac:dyDescent="0.25">
      <c r="B92" s="4" t="s">
        <v>375</v>
      </c>
      <c r="C92" s="364"/>
      <c r="D92" s="364"/>
      <c r="E92" s="3"/>
      <c r="F92" s="12" t="s">
        <v>19</v>
      </c>
      <c r="G92" s="365">
        <v>0</v>
      </c>
      <c r="H92" s="365">
        <f>SUM(H93:H102)</f>
        <v>2.8607802865140606E-4</v>
      </c>
      <c r="I92" s="365">
        <f t="shared" ref="I92:AF92" si="75">SUM(I93:I102)</f>
        <v>5.7739549514921381E-4</v>
      </c>
      <c r="J92" s="365">
        <f t="shared" si="75"/>
        <v>8.7404829981432776E-4</v>
      </c>
      <c r="K92" s="365">
        <f t="shared" si="75"/>
        <v>8.9005607021980736E-4</v>
      </c>
      <c r="L92" s="365">
        <f t="shared" si="75"/>
        <v>9.0635684149104208E-4</v>
      </c>
      <c r="M92" s="365">
        <f t="shared" si="75"/>
        <v>9.2295597850728869E-4</v>
      </c>
      <c r="N92" s="365">
        <f t="shared" si="75"/>
        <v>9.3985894451027198E-4</v>
      </c>
      <c r="O92" s="365">
        <f t="shared" si="75"/>
        <v>9.5707130291157406E-4</v>
      </c>
      <c r="P92" s="365">
        <f t="shared" si="75"/>
        <v>9.7459871913332789E-4</v>
      </c>
      <c r="Q92" s="365">
        <f t="shared" si="75"/>
        <v>9.9244696248282772E-4</v>
      </c>
      <c r="R92" s="365">
        <f t="shared" si="75"/>
        <v>6.6761636631248328E-4</v>
      </c>
      <c r="S92" s="365">
        <f t="shared" si="75"/>
        <v>3.3683700840936895E-4</v>
      </c>
      <c r="T92" s="365">
        <f t="shared" si="75"/>
        <v>0</v>
      </c>
      <c r="U92" s="365">
        <f t="shared" si="75"/>
        <v>0</v>
      </c>
      <c r="V92" s="365">
        <f t="shared" si="75"/>
        <v>0</v>
      </c>
      <c r="W92" s="365">
        <f t="shared" si="75"/>
        <v>0</v>
      </c>
      <c r="X92" s="365">
        <f t="shared" si="75"/>
        <v>0</v>
      </c>
      <c r="Y92" s="365">
        <f t="shared" si="75"/>
        <v>0</v>
      </c>
      <c r="Z92" s="365">
        <f t="shared" si="75"/>
        <v>0</v>
      </c>
      <c r="AA92" s="365">
        <f t="shared" si="75"/>
        <v>0</v>
      </c>
      <c r="AB92" s="365">
        <f t="shared" si="75"/>
        <v>0</v>
      </c>
      <c r="AC92" s="365">
        <f t="shared" si="75"/>
        <v>0</v>
      </c>
      <c r="AD92" s="365">
        <f t="shared" si="75"/>
        <v>0</v>
      </c>
      <c r="AE92" s="365">
        <f t="shared" si="75"/>
        <v>0</v>
      </c>
      <c r="AF92" s="366">
        <f t="shared" si="75"/>
        <v>0</v>
      </c>
      <c r="AH92" s="4" t="s">
        <v>375</v>
      </c>
      <c r="AI92" s="364"/>
      <c r="AJ92" s="364"/>
      <c r="AK92" s="3"/>
      <c r="AL92" s="12" t="s">
        <v>19</v>
      </c>
      <c r="AM92" s="365">
        <v>0</v>
      </c>
      <c r="AN92" s="365">
        <f t="shared" ref="AN92:BL92" si="76">SUM(AN93:AN102)</f>
        <v>8.1614631347946804E-5</v>
      </c>
      <c r="AO92" s="365">
        <f t="shared" si="76"/>
        <v>1.6501304383107726E-4</v>
      </c>
      <c r="AP92" s="365">
        <f t="shared" si="76"/>
        <v>2.5025747450850843E-4</v>
      </c>
      <c r="AQ92" s="365">
        <f t="shared" si="76"/>
        <v>2.5579947128165999E-4</v>
      </c>
      <c r="AR92" s="365">
        <f t="shared" si="76"/>
        <v>2.615403720668554E-4</v>
      </c>
      <c r="AS92" s="365">
        <f t="shared" si="76"/>
        <v>2.6749314515617337E-4</v>
      </c>
      <c r="AT92" s="365">
        <f t="shared" si="76"/>
        <v>2.7367199253178784E-4</v>
      </c>
      <c r="AU92" s="365">
        <f t="shared" si="76"/>
        <v>2.8009249802201351E-4</v>
      </c>
      <c r="AV92" s="365">
        <f t="shared" si="76"/>
        <v>2.8677179710829301E-4</v>
      </c>
      <c r="AW92" s="365">
        <f t="shared" si="76"/>
        <v>2.9372877216613934E-4</v>
      </c>
      <c r="AX92" s="365">
        <f t="shared" si="76"/>
        <v>1.9816895340758788E-4</v>
      </c>
      <c r="AY92" s="365">
        <f t="shared" si="76"/>
        <v>1.0029245055455921E-4</v>
      </c>
      <c r="AZ92" s="365">
        <f t="shared" si="76"/>
        <v>0</v>
      </c>
      <c r="BA92" s="365">
        <f t="shared" si="76"/>
        <v>0</v>
      </c>
      <c r="BB92" s="365">
        <f t="shared" si="76"/>
        <v>0</v>
      </c>
      <c r="BC92" s="365">
        <f t="shared" si="76"/>
        <v>0</v>
      </c>
      <c r="BD92" s="365">
        <f t="shared" si="76"/>
        <v>0</v>
      </c>
      <c r="BE92" s="365">
        <f t="shared" si="76"/>
        <v>0</v>
      </c>
      <c r="BF92" s="365">
        <f t="shared" si="76"/>
        <v>0</v>
      </c>
      <c r="BG92" s="365">
        <f t="shared" si="76"/>
        <v>0</v>
      </c>
      <c r="BH92" s="365">
        <f t="shared" si="76"/>
        <v>0</v>
      </c>
      <c r="BI92" s="365">
        <f t="shared" si="76"/>
        <v>0</v>
      </c>
      <c r="BJ92" s="365">
        <f t="shared" si="76"/>
        <v>0</v>
      </c>
      <c r="BK92" s="365">
        <f t="shared" si="76"/>
        <v>0</v>
      </c>
      <c r="BL92" s="366">
        <f t="shared" si="76"/>
        <v>0</v>
      </c>
    </row>
    <row r="93" spans="2:64" hidden="1" outlineLevel="1" x14ac:dyDescent="0.25">
      <c r="B93" s="329"/>
      <c r="C93" s="367" t="s">
        <v>382</v>
      </c>
      <c r="D93" s="367"/>
      <c r="E93" s="368"/>
      <c r="F93" s="369" t="s">
        <v>19</v>
      </c>
      <c r="G93" s="365">
        <v>0</v>
      </c>
      <c r="H93" s="365">
        <f>PMT('Utility Sector'!E18,IF('Customer Sector'!$F$52,'Customer Sector'!$F$29,'Customer Sector'!$F$53),-(H7+H8))/H58</f>
        <v>2.8607802865140606E-4</v>
      </c>
      <c r="I93" s="365">
        <f>IF(I$15-$H$15&lt;IF('Customer Sector'!$F$52,'Customer Sector'!$F$29,'Customer Sector'!$F$53),H93,0)</f>
        <v>2.8607802865140606E-4</v>
      </c>
      <c r="J93" s="365">
        <f>IF(J$15-$H$15&lt;IF('Customer Sector'!$F$52,'Customer Sector'!$F$29,'Customer Sector'!$F$53),I93,0)</f>
        <v>2.8607802865140606E-4</v>
      </c>
      <c r="K93" s="365">
        <f>IF(K$15-$H$15&lt;IF('Customer Sector'!$F$52,'Customer Sector'!$F$29,'Customer Sector'!$F$53),J93,0)</f>
        <v>0</v>
      </c>
      <c r="L93" s="365">
        <f>IF(L$15-$H$15&lt;IF('Customer Sector'!$F$52,'Customer Sector'!$F$29,'Customer Sector'!$F$53),K93,0)</f>
        <v>0</v>
      </c>
      <c r="M93" s="365">
        <f>IF(M$15-$H$15&lt;IF('Customer Sector'!$F$52,'Customer Sector'!$F$29,'Customer Sector'!$F$53),L93,0)</f>
        <v>0</v>
      </c>
      <c r="N93" s="365">
        <f>IF(N$15-$H$15&lt;IF('Customer Sector'!$F$52,'Customer Sector'!$F$29,'Customer Sector'!$F$53),M93,0)</f>
        <v>0</v>
      </c>
      <c r="O93" s="365">
        <f>IF(O$15-$H$15&lt;IF('Customer Sector'!$F$52,'Customer Sector'!$F$29,'Customer Sector'!$F$53),N93,0)</f>
        <v>0</v>
      </c>
      <c r="P93" s="365">
        <f>IF(P$15-$H$15&lt;IF('Customer Sector'!$F$52,'Customer Sector'!$F$29,'Customer Sector'!$F$53),O93,0)</f>
        <v>0</v>
      </c>
      <c r="Q93" s="365">
        <f>IF(Q$15-$H$15&lt;IF('Customer Sector'!$F$52,'Customer Sector'!$F$29,'Customer Sector'!$F$53),P93,0)</f>
        <v>0</v>
      </c>
      <c r="R93" s="365">
        <f>IF(R$15-$H$15&lt;IF('Customer Sector'!$F$52,'Customer Sector'!$F$29,'Customer Sector'!$F$53),Q93,0)</f>
        <v>0</v>
      </c>
      <c r="S93" s="365">
        <f>IF(S$15-$H$15&lt;IF('Customer Sector'!$F$52,'Customer Sector'!$F$29,'Customer Sector'!$F$53),R93,0)</f>
        <v>0</v>
      </c>
      <c r="T93" s="365">
        <f>IF(T$15-$H$15&lt;IF('Customer Sector'!$F$52,'Customer Sector'!$F$29,'Customer Sector'!$F$53),S93,0)</f>
        <v>0</v>
      </c>
      <c r="U93" s="365">
        <f>IF(U$15-$H$15&lt;IF('Customer Sector'!$F$52,'Customer Sector'!$F$29,'Customer Sector'!$F$53),T93,0)</f>
        <v>0</v>
      </c>
      <c r="V93" s="365">
        <f>IF(V$15-$H$15&lt;IF('Customer Sector'!$F$52,'Customer Sector'!$F$29,'Customer Sector'!$F$53),U93,0)</f>
        <v>0</v>
      </c>
      <c r="W93" s="365">
        <f>IF(W$15-$H$15&lt;IF('Customer Sector'!$F$52,'Customer Sector'!$F$29,'Customer Sector'!$F$53),V93,0)</f>
        <v>0</v>
      </c>
      <c r="X93" s="365">
        <f>IF(X$15-$H$15&lt;IF('Customer Sector'!$F$52,'Customer Sector'!$F$29,'Customer Sector'!$F$53),W93,0)</f>
        <v>0</v>
      </c>
      <c r="Y93" s="365">
        <f>IF(Y$15-$H$15&lt;IF('Customer Sector'!$F$52,'Customer Sector'!$F$29,'Customer Sector'!$F$53),X93,0)</f>
        <v>0</v>
      </c>
      <c r="Z93" s="365">
        <f>IF(Z$15-$H$15&lt;IF('Customer Sector'!$F$52,'Customer Sector'!$F$29,'Customer Sector'!$F$53),Y93,0)</f>
        <v>0</v>
      </c>
      <c r="AA93" s="365">
        <f>IF(AA$15-$H$15&lt;IF('Customer Sector'!$F$52,'Customer Sector'!$F$29,'Customer Sector'!$F$53),Z93,0)</f>
        <v>0</v>
      </c>
      <c r="AB93" s="365">
        <f>IF(AB$15-$H$15&lt;IF('Customer Sector'!$F$52,'Customer Sector'!$F$29,'Customer Sector'!$F$53),AA93,0)</f>
        <v>0</v>
      </c>
      <c r="AC93" s="365">
        <f>IF(AC$15-$H$15&lt;IF('Customer Sector'!$F$52,'Customer Sector'!$F$29,'Customer Sector'!$F$53),AB93,0)</f>
        <v>0</v>
      </c>
      <c r="AD93" s="365">
        <f>IF(AD$15-$H$15&lt;IF('Customer Sector'!$F$52,'Customer Sector'!$F$29,'Customer Sector'!$F$53),AC93,0)</f>
        <v>0</v>
      </c>
      <c r="AE93" s="365">
        <f>IF(AE$15-$H$15&lt;IF('Customer Sector'!$F$52,'Customer Sector'!$F$29,'Customer Sector'!$F$53),AD93,0)</f>
        <v>0</v>
      </c>
      <c r="AF93" s="366">
        <f>IF(AF$15-$H$15&lt;IF('Customer Sector'!$F$52,'Customer Sector'!$F$29,'Customer Sector'!$F$53),AE93,0)</f>
        <v>0</v>
      </c>
      <c r="AH93" s="329"/>
      <c r="AI93" s="367" t="s">
        <v>382</v>
      </c>
      <c r="AJ93" s="367"/>
      <c r="AK93" s="368"/>
      <c r="AL93" s="369" t="s">
        <v>19</v>
      </c>
      <c r="AM93" s="365">
        <v>0</v>
      </c>
      <c r="AN93" s="365">
        <f>(AN7/IF('Customer Sector'!$L$52,'Customer Sector'!$L$29,'Customer Sector'!$L$53))/AN58</f>
        <v>8.1614631347946804E-5</v>
      </c>
      <c r="AO93" s="365">
        <f>IF(AO15-$AN$15&lt;IF('Customer Sector'!$L$52,'Customer Sector'!$L$29,'Customer Sector'!$L$53),AN93,0)</f>
        <v>8.1614631347946804E-5</v>
      </c>
      <c r="AP93" s="365">
        <f>IF(AP15-$AN$15&lt;IF('Customer Sector'!$L$52,'Customer Sector'!$L$29,'Customer Sector'!$L$53),AO93,0)</f>
        <v>8.1614631347946804E-5</v>
      </c>
      <c r="AQ93" s="365">
        <f>IF(AQ15-$AN$15&lt;IF('Customer Sector'!$L$52,'Customer Sector'!$L$29,'Customer Sector'!$L$53),AP93,0)</f>
        <v>0</v>
      </c>
      <c r="AR93" s="365">
        <f>IF(AR15-$AN$15&lt;IF('Customer Sector'!$L$52,'Customer Sector'!$L$29,'Customer Sector'!$L$53),AQ93,0)</f>
        <v>0</v>
      </c>
      <c r="AS93" s="365">
        <f>IF(AS15-$AN$15&lt;IF('Customer Sector'!$L$52,'Customer Sector'!$L$29,'Customer Sector'!$L$53),AR93,0)</f>
        <v>0</v>
      </c>
      <c r="AT93" s="365">
        <f>IF(AT15-$AN$15&lt;IF('Customer Sector'!$L$52,'Customer Sector'!$L$29,'Customer Sector'!$L$53),AS93,0)</f>
        <v>0</v>
      </c>
      <c r="AU93" s="365">
        <f>IF(AU15-$AN$15&lt;IF('Customer Sector'!$L$52,'Customer Sector'!$L$29,'Customer Sector'!$L$53),AT93,0)</f>
        <v>0</v>
      </c>
      <c r="AV93" s="365">
        <f>IF(AV15-$AN$15&lt;IF('Customer Sector'!$L$52,'Customer Sector'!$L$29,'Customer Sector'!$L$53),AU93,0)</f>
        <v>0</v>
      </c>
      <c r="AW93" s="365">
        <f>IF(AW15-$AN$15&lt;IF('Customer Sector'!$L$52,'Customer Sector'!$L$29,'Customer Sector'!$L$53),AV93,0)</f>
        <v>0</v>
      </c>
      <c r="AX93" s="365">
        <f>IF(AX15-$AN$15&lt;IF('Customer Sector'!$L$52,'Customer Sector'!$L$29,'Customer Sector'!$L$53),AW93,0)</f>
        <v>0</v>
      </c>
      <c r="AY93" s="365">
        <f>IF(AY15-$AN$15&lt;IF('Customer Sector'!$L$52,'Customer Sector'!$L$29,'Customer Sector'!$L$53),AX93,0)</f>
        <v>0</v>
      </c>
      <c r="AZ93" s="365">
        <f>IF(AZ15-$AN$15&lt;IF('Customer Sector'!$L$52,'Customer Sector'!$L$29,'Customer Sector'!$L$53),AY93,0)</f>
        <v>0</v>
      </c>
      <c r="BA93" s="365">
        <f>IF(BA15-$AN$15&lt;IF('Customer Sector'!$L$52,'Customer Sector'!$L$29,'Customer Sector'!$L$53),AZ93,0)</f>
        <v>0</v>
      </c>
      <c r="BB93" s="365">
        <f>IF(BB15-$AN$15&lt;IF('Customer Sector'!$L$52,'Customer Sector'!$L$29,'Customer Sector'!$L$53),BA93,0)</f>
        <v>0</v>
      </c>
      <c r="BC93" s="365">
        <f>IF(BC15-$AN$15&lt;IF('Customer Sector'!$L$52,'Customer Sector'!$L$29,'Customer Sector'!$L$53),BB93,0)</f>
        <v>0</v>
      </c>
      <c r="BD93" s="365">
        <f>IF(BD15-$AN$15&lt;IF('Customer Sector'!$L$52,'Customer Sector'!$L$29,'Customer Sector'!$L$53),BC93,0)</f>
        <v>0</v>
      </c>
      <c r="BE93" s="365">
        <f>IF(BE15-$AN$15&lt;IF('Customer Sector'!$L$52,'Customer Sector'!$L$29,'Customer Sector'!$L$53),BD93,0)</f>
        <v>0</v>
      </c>
      <c r="BF93" s="365">
        <f>IF(BF15-$AN$15&lt;IF('Customer Sector'!$L$52,'Customer Sector'!$L$29,'Customer Sector'!$L$53),BE93,0)</f>
        <v>0</v>
      </c>
      <c r="BG93" s="365">
        <f>IF(BG15-$AN$15&lt;IF('Customer Sector'!$L$52,'Customer Sector'!$L$29,'Customer Sector'!$L$53),BF93,0)</f>
        <v>0</v>
      </c>
      <c r="BH93" s="365">
        <f>IF(BH15-$AN$15&lt;IF('Customer Sector'!$L$52,'Customer Sector'!$L$29,'Customer Sector'!$L$53),BG93,0)</f>
        <v>0</v>
      </c>
      <c r="BI93" s="365">
        <f>IF(BI15-$AN$15&lt;IF('Customer Sector'!$L$52,'Customer Sector'!$L$29,'Customer Sector'!$L$53),BH93,0)</f>
        <v>0</v>
      </c>
      <c r="BJ93" s="365">
        <f>IF(BJ15-$AN$15&lt;IF('Customer Sector'!$L$52,'Customer Sector'!$L$29,'Customer Sector'!$L$53),BI93,0)</f>
        <v>0</v>
      </c>
      <c r="BK93" s="365">
        <f>IF(BK15-$AN$15&lt;IF('Customer Sector'!$L$52,'Customer Sector'!$L$29,'Customer Sector'!$L$53),BJ93,0)</f>
        <v>0</v>
      </c>
      <c r="BL93" s="366">
        <f>IF(BL15-$AN$15&lt;IF('Customer Sector'!$L$52,'Customer Sector'!$L$29,'Customer Sector'!$L$53),BK93,0)</f>
        <v>0</v>
      </c>
    </row>
    <row r="94" spans="2:64" hidden="1" outlineLevel="1" x14ac:dyDescent="0.25">
      <c r="B94" s="329"/>
      <c r="C94" s="367" t="s">
        <v>383</v>
      </c>
      <c r="D94" s="367"/>
      <c r="E94" s="368"/>
      <c r="F94" s="369" t="s">
        <v>19</v>
      </c>
      <c r="G94" s="365">
        <v>0</v>
      </c>
      <c r="H94" s="365">
        <v>0</v>
      </c>
      <c r="I94" s="365">
        <f>PMT('Utility Sector'!$E$18,IF('Customer Sector'!$F$52,'Customer Sector'!$F$29,'Customer Sector'!$F$53),-(I$7+I8))/I$58</f>
        <v>2.9131746649780781E-4</v>
      </c>
      <c r="J94" s="365">
        <f>IF(J$15-$I$15&lt;IF('Customer Sector'!$F$52,'Customer Sector'!$F$29,'Customer Sector'!$F$53),I94,0)</f>
        <v>2.9131746649780781E-4</v>
      </c>
      <c r="K94" s="365">
        <f>IF(K$15-$I$15&lt;IF('Customer Sector'!$F$52,'Customer Sector'!$F$29,'Customer Sector'!$F$53),J94,0)</f>
        <v>2.9131746649780781E-4</v>
      </c>
      <c r="L94" s="365">
        <f>IF(L$15-$I$15&lt;IF('Customer Sector'!$F$52,'Customer Sector'!$F$29,'Customer Sector'!$F$53),K94,0)</f>
        <v>0</v>
      </c>
      <c r="M94" s="365">
        <f>IF(M$15-$I$15&lt;IF('Customer Sector'!$F$52,'Customer Sector'!$F$29,'Customer Sector'!$F$53),L94,0)</f>
        <v>0</v>
      </c>
      <c r="N94" s="365">
        <f>IF(N$15-$I$15&lt;IF('Customer Sector'!$F$52,'Customer Sector'!$F$29,'Customer Sector'!$F$53),M94,0)</f>
        <v>0</v>
      </c>
      <c r="O94" s="365">
        <f>IF(O$15-$I$15&lt;IF('Customer Sector'!$F$52,'Customer Sector'!$F$29,'Customer Sector'!$F$53),N94,0)</f>
        <v>0</v>
      </c>
      <c r="P94" s="365">
        <f>IF(P$15-$I$15&lt;IF('Customer Sector'!$F$52,'Customer Sector'!$F$29,'Customer Sector'!$F$53),O94,0)</f>
        <v>0</v>
      </c>
      <c r="Q94" s="365">
        <f>IF(Q$15-$I$15&lt;IF('Customer Sector'!$F$52,'Customer Sector'!$F$29,'Customer Sector'!$F$53),P94,0)</f>
        <v>0</v>
      </c>
      <c r="R94" s="365">
        <f>IF(R$15-$I$15&lt;IF('Customer Sector'!$F$52,'Customer Sector'!$F$29,'Customer Sector'!$F$53),Q94,0)</f>
        <v>0</v>
      </c>
      <c r="S94" s="365">
        <f>IF(S$15-$I$15&lt;IF('Customer Sector'!$F$52,'Customer Sector'!$F$29,'Customer Sector'!$F$53),R94,0)</f>
        <v>0</v>
      </c>
      <c r="T94" s="365">
        <f>IF(T$15-$I$15&lt;IF('Customer Sector'!$F$52,'Customer Sector'!$F$29,'Customer Sector'!$F$53),S94,0)</f>
        <v>0</v>
      </c>
      <c r="U94" s="365">
        <f>IF(U$15-$I$15&lt;IF('Customer Sector'!$F$52,'Customer Sector'!$F$29,'Customer Sector'!$F$53),T94,0)</f>
        <v>0</v>
      </c>
      <c r="V94" s="365">
        <f>IF(V$15-$I$15&lt;IF('Customer Sector'!$F$52,'Customer Sector'!$F$29,'Customer Sector'!$F$53),U94,0)</f>
        <v>0</v>
      </c>
      <c r="W94" s="365">
        <f>IF(W$15-$I$15&lt;IF('Customer Sector'!$F$52,'Customer Sector'!$F$29,'Customer Sector'!$F$53),V94,0)</f>
        <v>0</v>
      </c>
      <c r="X94" s="365">
        <f>IF(X$15-$I$15&lt;IF('Customer Sector'!$F$52,'Customer Sector'!$F$29,'Customer Sector'!$F$53),W94,0)</f>
        <v>0</v>
      </c>
      <c r="Y94" s="365">
        <f>IF(Y$15-$I$15&lt;IF('Customer Sector'!$F$52,'Customer Sector'!$F$29,'Customer Sector'!$F$53),X94,0)</f>
        <v>0</v>
      </c>
      <c r="Z94" s="365">
        <f>IF(Z$15-$I$15&lt;IF('Customer Sector'!$F$52,'Customer Sector'!$F$29,'Customer Sector'!$F$53),Y94,0)</f>
        <v>0</v>
      </c>
      <c r="AA94" s="365">
        <f>IF(AA$15-$I$15&lt;IF('Customer Sector'!$F$52,'Customer Sector'!$F$29,'Customer Sector'!$F$53),Z94,0)</f>
        <v>0</v>
      </c>
      <c r="AB94" s="365">
        <f>IF(AB$15-$I$15&lt;IF('Customer Sector'!$F$52,'Customer Sector'!$F$29,'Customer Sector'!$F$53),AA94,0)</f>
        <v>0</v>
      </c>
      <c r="AC94" s="365">
        <f>IF(AC$15-$I$15&lt;IF('Customer Sector'!$F$52,'Customer Sector'!$F$29,'Customer Sector'!$F$53),AB94,0)</f>
        <v>0</v>
      </c>
      <c r="AD94" s="365">
        <f>IF(AD$15-$I$15&lt;IF('Customer Sector'!$F$52,'Customer Sector'!$F$29,'Customer Sector'!$F$53),AC94,0)</f>
        <v>0</v>
      </c>
      <c r="AE94" s="365">
        <f>IF(AE$15-$I$15&lt;IF('Customer Sector'!$F$52,'Customer Sector'!$F$29,'Customer Sector'!$F$53),AD94,0)</f>
        <v>0</v>
      </c>
      <c r="AF94" s="366">
        <f>IF(AF$15-$I$15&lt;IF('Customer Sector'!$F$52,'Customer Sector'!$F$29,'Customer Sector'!$F$53),AE94,0)</f>
        <v>0</v>
      </c>
      <c r="AH94" s="329"/>
      <c r="AI94" s="367" t="s">
        <v>383</v>
      </c>
      <c r="AJ94" s="367"/>
      <c r="AK94" s="368"/>
      <c r="AL94" s="369" t="s">
        <v>19</v>
      </c>
      <c r="AM94" s="365">
        <v>0</v>
      </c>
      <c r="AN94" s="365">
        <v>0</v>
      </c>
      <c r="AO94" s="365">
        <f>(AO7/IF('Customer Sector'!$L$52,'Customer Sector'!$L$29,'Customer Sector'!$L$53))/AO58</f>
        <v>8.3398412483130446E-5</v>
      </c>
      <c r="AP94" s="365">
        <f>IF(AP15-$AO$15&lt;IF('Customer Sector'!$L$52,'Customer Sector'!$L$29,'Customer Sector'!$L$53),AO94,0)</f>
        <v>8.3398412483130446E-5</v>
      </c>
      <c r="AQ94" s="365">
        <f>IF(AQ15-$AO$15&lt;IF('Customer Sector'!$L$52,'Customer Sector'!$L$29,'Customer Sector'!$L$53),AP94,0)</f>
        <v>8.3398412483130446E-5</v>
      </c>
      <c r="AR94" s="365">
        <f>IF(AR15-$AO$15&lt;IF('Customer Sector'!$L$52,'Customer Sector'!$L$29,'Customer Sector'!$L$53),AQ94,0)</f>
        <v>0</v>
      </c>
      <c r="AS94" s="365">
        <f>IF(AS15-$AO$15&lt;IF('Customer Sector'!$L$52,'Customer Sector'!$L$29,'Customer Sector'!$L$53),AR94,0)</f>
        <v>0</v>
      </c>
      <c r="AT94" s="365">
        <f>IF(AT15-$AO$15&lt;IF('Customer Sector'!$L$52,'Customer Sector'!$L$29,'Customer Sector'!$L$53),AS94,0)</f>
        <v>0</v>
      </c>
      <c r="AU94" s="365">
        <f>IF(AU15-$AO$15&lt;IF('Customer Sector'!$L$52,'Customer Sector'!$L$29,'Customer Sector'!$L$53),AT94,0)</f>
        <v>0</v>
      </c>
      <c r="AV94" s="365">
        <f>IF(AV15-$AO$15&lt;IF('Customer Sector'!$L$52,'Customer Sector'!$L$29,'Customer Sector'!$L$53),AU94,0)</f>
        <v>0</v>
      </c>
      <c r="AW94" s="365">
        <f>IF(AW15-$AO$15&lt;IF('Customer Sector'!$L$52,'Customer Sector'!$L$29,'Customer Sector'!$L$53),AV94,0)</f>
        <v>0</v>
      </c>
      <c r="AX94" s="365">
        <f>IF(AX15-$AO$15&lt;IF('Customer Sector'!$L$52,'Customer Sector'!$L$29,'Customer Sector'!$L$53),AW94,0)</f>
        <v>0</v>
      </c>
      <c r="AY94" s="365">
        <f>IF(AY15-$AO$15&lt;IF('Customer Sector'!$L$52,'Customer Sector'!$L$29,'Customer Sector'!$L$53),AX94,0)</f>
        <v>0</v>
      </c>
      <c r="AZ94" s="365">
        <f>IF(AZ15-$AO$15&lt;IF('Customer Sector'!$L$52,'Customer Sector'!$L$29,'Customer Sector'!$L$53),AY94,0)</f>
        <v>0</v>
      </c>
      <c r="BA94" s="365">
        <f>IF(BA15-$AO$15&lt;IF('Customer Sector'!$L$52,'Customer Sector'!$L$29,'Customer Sector'!$L$53),AZ94,0)</f>
        <v>0</v>
      </c>
      <c r="BB94" s="365">
        <f>IF(BB15-$AO$15&lt;IF('Customer Sector'!$L$52,'Customer Sector'!$L$29,'Customer Sector'!$L$53),BA94,0)</f>
        <v>0</v>
      </c>
      <c r="BC94" s="365">
        <f>IF(BC15-$AO$15&lt;IF('Customer Sector'!$L$52,'Customer Sector'!$L$29,'Customer Sector'!$L$53),BB94,0)</f>
        <v>0</v>
      </c>
      <c r="BD94" s="365">
        <f>IF(BD15-$AO$15&lt;IF('Customer Sector'!$L$52,'Customer Sector'!$L$29,'Customer Sector'!$L$53),BC94,0)</f>
        <v>0</v>
      </c>
      <c r="BE94" s="365">
        <f>IF(BE15-$AO$15&lt;IF('Customer Sector'!$L$52,'Customer Sector'!$L$29,'Customer Sector'!$L$53),BD94,0)</f>
        <v>0</v>
      </c>
      <c r="BF94" s="365">
        <f>IF(BF15-$AO$15&lt;IF('Customer Sector'!$L$52,'Customer Sector'!$L$29,'Customer Sector'!$L$53),BE94,0)</f>
        <v>0</v>
      </c>
      <c r="BG94" s="365">
        <f>IF(BG15-$AO$15&lt;IF('Customer Sector'!$L$52,'Customer Sector'!$L$29,'Customer Sector'!$L$53),BF94,0)</f>
        <v>0</v>
      </c>
      <c r="BH94" s="365">
        <f>IF(BH15-$AO$15&lt;IF('Customer Sector'!$L$52,'Customer Sector'!$L$29,'Customer Sector'!$L$53),BG94,0)</f>
        <v>0</v>
      </c>
      <c r="BI94" s="365">
        <f>IF(BI15-$AO$15&lt;IF('Customer Sector'!$L$52,'Customer Sector'!$L$29,'Customer Sector'!$L$53),BH94,0)</f>
        <v>0</v>
      </c>
      <c r="BJ94" s="365">
        <f>IF(BJ15-$AO$15&lt;IF('Customer Sector'!$L$52,'Customer Sector'!$L$29,'Customer Sector'!$L$53),BI94,0)</f>
        <v>0</v>
      </c>
      <c r="BK94" s="365">
        <f>IF(BK15-$AO$15&lt;IF('Customer Sector'!$L$52,'Customer Sector'!$L$29,'Customer Sector'!$L$53),BJ94,0)</f>
        <v>0</v>
      </c>
      <c r="BL94" s="366">
        <f>IF(BL15-$AO$15&lt;IF('Customer Sector'!$L$52,'Customer Sector'!$L$29,'Customer Sector'!$L$53),BK94,0)</f>
        <v>0</v>
      </c>
    </row>
    <row r="95" spans="2:64" hidden="1" outlineLevel="1" x14ac:dyDescent="0.25">
      <c r="B95" s="329"/>
      <c r="C95" s="367" t="s">
        <v>384</v>
      </c>
      <c r="D95" s="367"/>
      <c r="E95" s="368"/>
      <c r="F95" s="369" t="s">
        <v>19</v>
      </c>
      <c r="G95" s="365">
        <v>0</v>
      </c>
      <c r="H95" s="365">
        <v>0</v>
      </c>
      <c r="I95" s="365">
        <v>0</v>
      </c>
      <c r="J95" s="365">
        <f>PMT('Utility Sector'!$E$18,IF('Customer Sector'!$F$52,'Customer Sector'!$F$29,'Customer Sector'!$F$53),-(J$7+J8))/J$58</f>
        <v>2.9665280466511401E-4</v>
      </c>
      <c r="K95" s="365">
        <f>IF(K$15-$J$15&lt;IF('Customer Sector'!$F$52,'Customer Sector'!$F$29,'Customer Sector'!$F$53),J95,0)</f>
        <v>2.9665280466511401E-4</v>
      </c>
      <c r="L95" s="365">
        <f>IF(L$15-$J$15&lt;IF('Customer Sector'!$F$52,'Customer Sector'!$F$29,'Customer Sector'!$F$53),K95,0)</f>
        <v>2.9665280466511401E-4</v>
      </c>
      <c r="M95" s="365">
        <f>IF(M$15-$J$15&lt;IF('Customer Sector'!$F$52,'Customer Sector'!$F$29,'Customer Sector'!$F$53),L95,0)</f>
        <v>0</v>
      </c>
      <c r="N95" s="365">
        <f>IF(N$15-$J$15&lt;IF('Customer Sector'!$F$52,'Customer Sector'!$F$29,'Customer Sector'!$F$53),M95,0)</f>
        <v>0</v>
      </c>
      <c r="O95" s="365">
        <f>IF(O$15-$J$15&lt;IF('Customer Sector'!$F$52,'Customer Sector'!$F$29,'Customer Sector'!$F$53),N95,0)</f>
        <v>0</v>
      </c>
      <c r="P95" s="365">
        <f>IF(P$15-$J$15&lt;IF('Customer Sector'!$F$52,'Customer Sector'!$F$29,'Customer Sector'!$F$53),O95,0)</f>
        <v>0</v>
      </c>
      <c r="Q95" s="365">
        <f>IF(Q$15-$J$15&lt;IF('Customer Sector'!$F$52,'Customer Sector'!$F$29,'Customer Sector'!$F$53),P95,0)</f>
        <v>0</v>
      </c>
      <c r="R95" s="365">
        <f>IF(R$15-$J$15&lt;IF('Customer Sector'!$F$52,'Customer Sector'!$F$29,'Customer Sector'!$F$53),Q95,0)</f>
        <v>0</v>
      </c>
      <c r="S95" s="365">
        <f>IF(S$15-$J$15&lt;IF('Customer Sector'!$F$52,'Customer Sector'!$F$29,'Customer Sector'!$F$53),R95,0)</f>
        <v>0</v>
      </c>
      <c r="T95" s="365">
        <f>IF(T$15-$J$15&lt;IF('Customer Sector'!$F$52,'Customer Sector'!$F$29,'Customer Sector'!$F$53),S95,0)</f>
        <v>0</v>
      </c>
      <c r="U95" s="365">
        <f>IF(U$15-$J$15&lt;IF('Customer Sector'!$F$52,'Customer Sector'!$F$29,'Customer Sector'!$F$53),T95,0)</f>
        <v>0</v>
      </c>
      <c r="V95" s="365">
        <f>IF(V$15-$J$15&lt;IF('Customer Sector'!$F$52,'Customer Sector'!$F$29,'Customer Sector'!$F$53),U95,0)</f>
        <v>0</v>
      </c>
      <c r="W95" s="365">
        <f>IF(W$15-$J$15&lt;IF('Customer Sector'!$F$52,'Customer Sector'!$F$29,'Customer Sector'!$F$53),V95,0)</f>
        <v>0</v>
      </c>
      <c r="X95" s="365">
        <f>IF(X$15-$J$15&lt;IF('Customer Sector'!$F$52,'Customer Sector'!$F$29,'Customer Sector'!$F$53),W95,0)</f>
        <v>0</v>
      </c>
      <c r="Y95" s="365">
        <f>IF(Y$15-$J$15&lt;IF('Customer Sector'!$F$52,'Customer Sector'!$F$29,'Customer Sector'!$F$53),X95,0)</f>
        <v>0</v>
      </c>
      <c r="Z95" s="365">
        <f>IF(Z$15-$J$15&lt;IF('Customer Sector'!$F$52,'Customer Sector'!$F$29,'Customer Sector'!$F$53),Y95,0)</f>
        <v>0</v>
      </c>
      <c r="AA95" s="365">
        <f>IF(AA$15-$J$15&lt;IF('Customer Sector'!$F$52,'Customer Sector'!$F$29,'Customer Sector'!$F$53),Z95,0)</f>
        <v>0</v>
      </c>
      <c r="AB95" s="365">
        <f>IF(AB$15-$J$15&lt;IF('Customer Sector'!$F$52,'Customer Sector'!$F$29,'Customer Sector'!$F$53),AA95,0)</f>
        <v>0</v>
      </c>
      <c r="AC95" s="365">
        <f>IF(AC$15-$J$15&lt;IF('Customer Sector'!$F$52,'Customer Sector'!$F$29,'Customer Sector'!$F$53),AB95,0)</f>
        <v>0</v>
      </c>
      <c r="AD95" s="365">
        <f>IF(AD$15-$J$15&lt;IF('Customer Sector'!$F$52,'Customer Sector'!$F$29,'Customer Sector'!$F$53),AC95,0)</f>
        <v>0</v>
      </c>
      <c r="AE95" s="365">
        <f>IF(AE$15-$J$15&lt;IF('Customer Sector'!$F$52,'Customer Sector'!$F$29,'Customer Sector'!$F$53),AD95,0)</f>
        <v>0</v>
      </c>
      <c r="AF95" s="366">
        <f>IF(AF$15-$J$15&lt;IF('Customer Sector'!$F$52,'Customer Sector'!$F$29,'Customer Sector'!$F$53),AE95,0)</f>
        <v>0</v>
      </c>
      <c r="AH95" s="329"/>
      <c r="AI95" s="367" t="s">
        <v>384</v>
      </c>
      <c r="AJ95" s="367"/>
      <c r="AK95" s="368"/>
      <c r="AL95" s="369" t="s">
        <v>19</v>
      </c>
      <c r="AM95" s="365">
        <v>0</v>
      </c>
      <c r="AN95" s="365">
        <v>0</v>
      </c>
      <c r="AO95" s="365">
        <v>0</v>
      </c>
      <c r="AP95" s="365">
        <f>(AP7/IF('Customer Sector'!$L$52,'Customer Sector'!$L$29,'Customer Sector'!$L$53))/AP58</f>
        <v>8.5244430677431163E-5</v>
      </c>
      <c r="AQ95" s="365">
        <f>IF(AQ$15-$AP$15&lt;IF('Customer Sector'!$L$52,'Customer Sector'!$L$29,'Customer Sector'!$L$53),AP95,0)</f>
        <v>8.5244430677431163E-5</v>
      </c>
      <c r="AR95" s="365">
        <f>IF(AR$15-$AP$15&lt;IF('Customer Sector'!$L$52,'Customer Sector'!$L$29,'Customer Sector'!$L$53),AQ95,0)</f>
        <v>8.5244430677431163E-5</v>
      </c>
      <c r="AS95" s="365">
        <f>IF(AS$15-$AP$15&lt;IF('Customer Sector'!$L$52,'Customer Sector'!$L$29,'Customer Sector'!$L$53),AR95,0)</f>
        <v>0</v>
      </c>
      <c r="AT95" s="365">
        <f>IF(AT$15-$AP$15&lt;IF('Customer Sector'!$L$52,'Customer Sector'!$L$29,'Customer Sector'!$L$53),AS95,0)</f>
        <v>0</v>
      </c>
      <c r="AU95" s="365">
        <f>IF(AU$15-$AP$15&lt;IF('Customer Sector'!$L$52,'Customer Sector'!$L$29,'Customer Sector'!$L$53),AT95,0)</f>
        <v>0</v>
      </c>
      <c r="AV95" s="365">
        <f>IF(AV$15-$AP$15&lt;IF('Customer Sector'!$L$52,'Customer Sector'!$L$29,'Customer Sector'!$L$53),AU95,0)</f>
        <v>0</v>
      </c>
      <c r="AW95" s="365">
        <f>IF(AW$15-$AP$15&lt;IF('Customer Sector'!$L$52,'Customer Sector'!$L$29,'Customer Sector'!$L$53),AV95,0)</f>
        <v>0</v>
      </c>
      <c r="AX95" s="365">
        <f>IF(AX$15-$AP$15&lt;IF('Customer Sector'!$L$52,'Customer Sector'!$L$29,'Customer Sector'!$L$53),AW95,0)</f>
        <v>0</v>
      </c>
      <c r="AY95" s="365">
        <f>IF(AY$15-$AP$15&lt;IF('Customer Sector'!$L$52,'Customer Sector'!$L$29,'Customer Sector'!$L$53),AX95,0)</f>
        <v>0</v>
      </c>
      <c r="AZ95" s="365">
        <f>IF(AZ$15-$AP$15&lt;IF('Customer Sector'!$L$52,'Customer Sector'!$L$29,'Customer Sector'!$L$53),AY95,0)</f>
        <v>0</v>
      </c>
      <c r="BA95" s="365">
        <f>IF(BA$15-$AP$15&lt;IF('Customer Sector'!$L$52,'Customer Sector'!$L$29,'Customer Sector'!$L$53),AZ95,0)</f>
        <v>0</v>
      </c>
      <c r="BB95" s="365">
        <f>IF(BB$15-$AP$15&lt;IF('Customer Sector'!$L$52,'Customer Sector'!$L$29,'Customer Sector'!$L$53),BA95,0)</f>
        <v>0</v>
      </c>
      <c r="BC95" s="365">
        <f>IF(BC$15-$AP$15&lt;IF('Customer Sector'!$L$52,'Customer Sector'!$L$29,'Customer Sector'!$L$53),BB95,0)</f>
        <v>0</v>
      </c>
      <c r="BD95" s="365">
        <f>IF(BD$15-$AP$15&lt;IF('Customer Sector'!$L$52,'Customer Sector'!$L$29,'Customer Sector'!$L$53),BC95,0)</f>
        <v>0</v>
      </c>
      <c r="BE95" s="365">
        <f>IF(BE$15-$AP$15&lt;IF('Customer Sector'!$L$52,'Customer Sector'!$L$29,'Customer Sector'!$L$53),BD95,0)</f>
        <v>0</v>
      </c>
      <c r="BF95" s="365">
        <f>IF(BF$15-$AP$15&lt;IF('Customer Sector'!$L$52,'Customer Sector'!$L$29,'Customer Sector'!$L$53),BE95,0)</f>
        <v>0</v>
      </c>
      <c r="BG95" s="365">
        <f>IF(BG$15-$AP$15&lt;IF('Customer Sector'!$L$52,'Customer Sector'!$L$29,'Customer Sector'!$L$53),BF95,0)</f>
        <v>0</v>
      </c>
      <c r="BH95" s="365">
        <f>IF(BH$15-$AP$15&lt;IF('Customer Sector'!$L$52,'Customer Sector'!$L$29,'Customer Sector'!$L$53),BG95,0)</f>
        <v>0</v>
      </c>
      <c r="BI95" s="365">
        <f>IF(BI$15-$AP$15&lt;IF('Customer Sector'!$L$52,'Customer Sector'!$L$29,'Customer Sector'!$L$53),BH95,0)</f>
        <v>0</v>
      </c>
      <c r="BJ95" s="365">
        <f>IF(BJ$15-$AP$15&lt;IF('Customer Sector'!$L$52,'Customer Sector'!$L$29,'Customer Sector'!$L$53),BI95,0)</f>
        <v>0</v>
      </c>
      <c r="BK95" s="365">
        <f>IF(BK$15-$AP$15&lt;IF('Customer Sector'!$L$52,'Customer Sector'!$L$29,'Customer Sector'!$L$53),BJ95,0)</f>
        <v>0</v>
      </c>
      <c r="BL95" s="366">
        <f>IF(BL$15-$AP$15&lt;IF('Customer Sector'!$L$52,'Customer Sector'!$L$29,'Customer Sector'!$L$53),BK95,0)</f>
        <v>0</v>
      </c>
    </row>
    <row r="96" spans="2:64" hidden="1" outlineLevel="1" x14ac:dyDescent="0.25">
      <c r="B96" s="329"/>
      <c r="C96" s="367" t="s">
        <v>385</v>
      </c>
      <c r="D96" s="367"/>
      <c r="E96" s="368"/>
      <c r="F96" s="369" t="s">
        <v>19</v>
      </c>
      <c r="G96" s="365">
        <v>0</v>
      </c>
      <c r="H96" s="365">
        <v>0</v>
      </c>
      <c r="I96" s="365">
        <v>0</v>
      </c>
      <c r="J96" s="365">
        <v>0</v>
      </c>
      <c r="K96" s="365">
        <f>PMT('Utility Sector'!$E$18,IF('Customer Sector'!$F$52,'Customer Sector'!$F$29,'Customer Sector'!$F$53),-(K$7+K8))/K$58</f>
        <v>3.0208579905688561E-4</v>
      </c>
      <c r="L96" s="365">
        <f>IF(L$15-$K$15&lt;IF('Customer Sector'!$F$52,'Customer Sector'!$F$29,'Customer Sector'!$F$53),K96,0)</f>
        <v>3.0208579905688561E-4</v>
      </c>
      <c r="M96" s="365">
        <f>IF(M$15-$K$15&lt;IF('Customer Sector'!$F$52,'Customer Sector'!$F$29,'Customer Sector'!$F$53),L96,0)</f>
        <v>3.0208579905688561E-4</v>
      </c>
      <c r="N96" s="365">
        <f>IF(N$15-$K$15&lt;IF('Customer Sector'!$F$52,'Customer Sector'!$F$29,'Customer Sector'!$F$53),M96,0)</f>
        <v>0</v>
      </c>
      <c r="O96" s="365">
        <f>IF(O$15-$K$15&lt;IF('Customer Sector'!$F$52,'Customer Sector'!$F$29,'Customer Sector'!$F$53),N96,0)</f>
        <v>0</v>
      </c>
      <c r="P96" s="365">
        <f>IF(P$15-$K$15&lt;IF('Customer Sector'!$F$52,'Customer Sector'!$F$29,'Customer Sector'!$F$53),O96,0)</f>
        <v>0</v>
      </c>
      <c r="Q96" s="365">
        <f>IF(Q$15-$K$15&lt;IF('Customer Sector'!$F$52,'Customer Sector'!$F$29,'Customer Sector'!$F$53),P96,0)</f>
        <v>0</v>
      </c>
      <c r="R96" s="365">
        <f>IF(R$15-$K$15&lt;IF('Customer Sector'!$F$52,'Customer Sector'!$F$29,'Customer Sector'!$F$53),Q96,0)</f>
        <v>0</v>
      </c>
      <c r="S96" s="365">
        <f>IF(S$15-$K$15&lt;IF('Customer Sector'!$F$52,'Customer Sector'!$F$29,'Customer Sector'!$F$53),R96,0)</f>
        <v>0</v>
      </c>
      <c r="T96" s="365">
        <f>IF(T$15-$K$15&lt;IF('Customer Sector'!$F$52,'Customer Sector'!$F$29,'Customer Sector'!$F$53),S96,0)</f>
        <v>0</v>
      </c>
      <c r="U96" s="365">
        <f>IF(U$15-$K$15&lt;IF('Customer Sector'!$F$52,'Customer Sector'!$F$29,'Customer Sector'!$F$53),T96,0)</f>
        <v>0</v>
      </c>
      <c r="V96" s="365">
        <f>IF(V$15-$K$15&lt;IF('Customer Sector'!$F$52,'Customer Sector'!$F$29,'Customer Sector'!$F$53),U96,0)</f>
        <v>0</v>
      </c>
      <c r="W96" s="365">
        <f>IF(W$15-$K$15&lt;IF('Customer Sector'!$F$52,'Customer Sector'!$F$29,'Customer Sector'!$F$53),V96,0)</f>
        <v>0</v>
      </c>
      <c r="X96" s="365">
        <f>IF(X$15-$K$15&lt;IF('Customer Sector'!$F$52,'Customer Sector'!$F$29,'Customer Sector'!$F$53),W96,0)</f>
        <v>0</v>
      </c>
      <c r="Y96" s="365">
        <f>IF(Y$15-$K$15&lt;IF('Customer Sector'!$F$52,'Customer Sector'!$F$29,'Customer Sector'!$F$53),X96,0)</f>
        <v>0</v>
      </c>
      <c r="Z96" s="365">
        <f>IF(Z$15-$K$15&lt;IF('Customer Sector'!$F$52,'Customer Sector'!$F$29,'Customer Sector'!$F$53),Y96,0)</f>
        <v>0</v>
      </c>
      <c r="AA96" s="365">
        <f>IF(AA$15-$K$15&lt;IF('Customer Sector'!$F$52,'Customer Sector'!$F$29,'Customer Sector'!$F$53),Z96,0)</f>
        <v>0</v>
      </c>
      <c r="AB96" s="365">
        <f>IF(AB$15-$K$15&lt;IF('Customer Sector'!$F$52,'Customer Sector'!$F$29,'Customer Sector'!$F$53),AA96,0)</f>
        <v>0</v>
      </c>
      <c r="AC96" s="365">
        <f>IF(AC$15-$K$15&lt;IF('Customer Sector'!$F$52,'Customer Sector'!$F$29,'Customer Sector'!$F$53),AB96,0)</f>
        <v>0</v>
      </c>
      <c r="AD96" s="365">
        <f>IF(AD$15-$K$15&lt;IF('Customer Sector'!$F$52,'Customer Sector'!$F$29,'Customer Sector'!$F$53),AC96,0)</f>
        <v>0</v>
      </c>
      <c r="AE96" s="365">
        <f>IF(AE$15-$K$15&lt;IF('Customer Sector'!$F$52,'Customer Sector'!$F$29,'Customer Sector'!$F$53),AD96,0)</f>
        <v>0</v>
      </c>
      <c r="AF96" s="366">
        <f>IF(AF$15-$K$15&lt;IF('Customer Sector'!$F$52,'Customer Sector'!$F$29,'Customer Sector'!$F$53),AE96,0)</f>
        <v>0</v>
      </c>
      <c r="AH96" s="329"/>
      <c r="AI96" s="367" t="s">
        <v>385</v>
      </c>
      <c r="AJ96" s="367"/>
      <c r="AK96" s="368"/>
      <c r="AL96" s="369" t="s">
        <v>19</v>
      </c>
      <c r="AM96" s="365">
        <v>0</v>
      </c>
      <c r="AN96" s="365">
        <v>0</v>
      </c>
      <c r="AO96" s="365">
        <v>0</v>
      </c>
      <c r="AP96" s="365">
        <v>0</v>
      </c>
      <c r="AQ96" s="365">
        <f>(AQ7/IF('Customer Sector'!$L$52,'Customer Sector'!$L$29,'Customer Sector'!$L$53))/AQ58</f>
        <v>8.7156628121098378E-5</v>
      </c>
      <c r="AR96" s="365">
        <f>IF(AR$15-$AQ$15&lt;IF('Customer Sector'!$L$52,'Customer Sector'!$L$29,'Customer Sector'!$L$53),AQ96,0)</f>
        <v>8.7156628121098378E-5</v>
      </c>
      <c r="AS96" s="365">
        <f>IF(AS$15-$AQ$15&lt;IF('Customer Sector'!$L$52,'Customer Sector'!$L$29,'Customer Sector'!$L$53),AR96,0)</f>
        <v>8.7156628121098378E-5</v>
      </c>
      <c r="AT96" s="365">
        <f>IF(AT$15-$AQ$15&lt;IF('Customer Sector'!$L$52,'Customer Sector'!$L$29,'Customer Sector'!$L$53),AS96,0)</f>
        <v>0</v>
      </c>
      <c r="AU96" s="365">
        <f>IF(AU$15-$AQ$15&lt;IF('Customer Sector'!$L$52,'Customer Sector'!$L$29,'Customer Sector'!$L$53),AT96,0)</f>
        <v>0</v>
      </c>
      <c r="AV96" s="365">
        <f>IF(AV$15-$AQ$15&lt;IF('Customer Sector'!$L$52,'Customer Sector'!$L$29,'Customer Sector'!$L$53),AU96,0)</f>
        <v>0</v>
      </c>
      <c r="AW96" s="365">
        <f>IF(AW$15-$AQ$15&lt;IF('Customer Sector'!$L$52,'Customer Sector'!$L$29,'Customer Sector'!$L$53),AV96,0)</f>
        <v>0</v>
      </c>
      <c r="AX96" s="365">
        <f>IF(AX$15-$AQ$15&lt;IF('Customer Sector'!$L$52,'Customer Sector'!$L$29,'Customer Sector'!$L$53),AW96,0)</f>
        <v>0</v>
      </c>
      <c r="AY96" s="365">
        <f>IF(AY$15-$AQ$15&lt;IF('Customer Sector'!$L$52,'Customer Sector'!$L$29,'Customer Sector'!$L$53),AX96,0)</f>
        <v>0</v>
      </c>
      <c r="AZ96" s="365">
        <f>IF(AZ$15-$AQ$15&lt;IF('Customer Sector'!$L$52,'Customer Sector'!$L$29,'Customer Sector'!$L$53),AY96,0)</f>
        <v>0</v>
      </c>
      <c r="BA96" s="365">
        <f>IF(BA$15-$AQ$15&lt;IF('Customer Sector'!$L$52,'Customer Sector'!$L$29,'Customer Sector'!$L$53),AZ96,0)</f>
        <v>0</v>
      </c>
      <c r="BB96" s="365">
        <f>IF(BB$15-$AQ$15&lt;IF('Customer Sector'!$L$52,'Customer Sector'!$L$29,'Customer Sector'!$L$53),BA96,0)</f>
        <v>0</v>
      </c>
      <c r="BC96" s="365">
        <f>IF(BC$15-$AQ$15&lt;IF('Customer Sector'!$L$52,'Customer Sector'!$L$29,'Customer Sector'!$L$53),BB96,0)</f>
        <v>0</v>
      </c>
      <c r="BD96" s="365">
        <f>IF(BD$15-$AQ$15&lt;IF('Customer Sector'!$L$52,'Customer Sector'!$L$29,'Customer Sector'!$L$53),BC96,0)</f>
        <v>0</v>
      </c>
      <c r="BE96" s="365">
        <f>IF(BE$15-$AQ$15&lt;IF('Customer Sector'!$L$52,'Customer Sector'!$L$29,'Customer Sector'!$L$53),BD96,0)</f>
        <v>0</v>
      </c>
      <c r="BF96" s="365">
        <f>IF(BF$15-$AQ$15&lt;IF('Customer Sector'!$L$52,'Customer Sector'!$L$29,'Customer Sector'!$L$53),BE96,0)</f>
        <v>0</v>
      </c>
      <c r="BG96" s="365">
        <f>IF(BG$15-$AQ$15&lt;IF('Customer Sector'!$L$52,'Customer Sector'!$L$29,'Customer Sector'!$L$53),BF96,0)</f>
        <v>0</v>
      </c>
      <c r="BH96" s="365">
        <f>IF(BH$15-$AQ$15&lt;IF('Customer Sector'!$L$52,'Customer Sector'!$L$29,'Customer Sector'!$L$53),BG96,0)</f>
        <v>0</v>
      </c>
      <c r="BI96" s="365">
        <f>IF(BI$15-$AQ$15&lt;IF('Customer Sector'!$L$52,'Customer Sector'!$L$29,'Customer Sector'!$L$53),BH96,0)</f>
        <v>0</v>
      </c>
      <c r="BJ96" s="365">
        <f>IF(BJ$15-$AQ$15&lt;IF('Customer Sector'!$L$52,'Customer Sector'!$L$29,'Customer Sector'!$L$53),BI96,0)</f>
        <v>0</v>
      </c>
      <c r="BK96" s="365">
        <f>IF(BK$15-$AQ$15&lt;IF('Customer Sector'!$L$52,'Customer Sector'!$L$29,'Customer Sector'!$L$53),BJ96,0)</f>
        <v>0</v>
      </c>
      <c r="BL96" s="366">
        <f>IF(BL$15-$AQ$15&lt;IF('Customer Sector'!$L$52,'Customer Sector'!$L$29,'Customer Sector'!$L$53),BK96,0)</f>
        <v>0</v>
      </c>
    </row>
    <row r="97" spans="2:64" hidden="1" outlineLevel="1" x14ac:dyDescent="0.25">
      <c r="B97" s="329"/>
      <c r="C97" s="367" t="s">
        <v>386</v>
      </c>
      <c r="D97" s="367"/>
      <c r="E97" s="368"/>
      <c r="F97" s="369" t="s">
        <v>19</v>
      </c>
      <c r="G97" s="365">
        <v>0</v>
      </c>
      <c r="H97" s="365">
        <v>0</v>
      </c>
      <c r="I97" s="365">
        <v>0</v>
      </c>
      <c r="J97" s="365">
        <v>0</v>
      </c>
      <c r="K97" s="365">
        <v>0</v>
      </c>
      <c r="L97" s="365">
        <f>PMT('Utility Sector'!$E$18,IF('Customer Sector'!$F$52,'Customer Sector'!$F$29,'Customer Sector'!$F$53),-(L$7+L8))/L$58</f>
        <v>3.0761823776904253E-4</v>
      </c>
      <c r="M97" s="365">
        <f>IF(M$15-$L$15&lt;IF('Customer Sector'!$F$52,'Customer Sector'!$F$29,'Customer Sector'!$F$53),L97,0)</f>
        <v>3.0761823776904253E-4</v>
      </c>
      <c r="N97" s="365">
        <f>IF(N$15-$L$15&lt;IF('Customer Sector'!$F$52,'Customer Sector'!$F$29,'Customer Sector'!$F$53),M97,0)</f>
        <v>3.0761823776904253E-4</v>
      </c>
      <c r="O97" s="365">
        <f>IF(O$15-$L$15&lt;IF('Customer Sector'!$F$52,'Customer Sector'!$F$29,'Customer Sector'!$F$53),N97,0)</f>
        <v>0</v>
      </c>
      <c r="P97" s="365">
        <f>IF(P$15-$L$15&lt;IF('Customer Sector'!$F$52,'Customer Sector'!$F$29,'Customer Sector'!$F$53),O97,0)</f>
        <v>0</v>
      </c>
      <c r="Q97" s="365">
        <f>IF(Q$15-$L$15&lt;IF('Customer Sector'!$F$52,'Customer Sector'!$F$29,'Customer Sector'!$F$53),P97,0)</f>
        <v>0</v>
      </c>
      <c r="R97" s="365">
        <f>IF(R$15-$L$15&lt;IF('Customer Sector'!$F$52,'Customer Sector'!$F$29,'Customer Sector'!$F$53),Q97,0)</f>
        <v>0</v>
      </c>
      <c r="S97" s="365">
        <f>IF(S$15-$L$15&lt;IF('Customer Sector'!$F$52,'Customer Sector'!$F$29,'Customer Sector'!$F$53),R97,0)</f>
        <v>0</v>
      </c>
      <c r="T97" s="365">
        <f>IF(T$15-$L$15&lt;IF('Customer Sector'!$F$52,'Customer Sector'!$F$29,'Customer Sector'!$F$53),S97,0)</f>
        <v>0</v>
      </c>
      <c r="U97" s="365">
        <f>IF(U$15-$L$15&lt;IF('Customer Sector'!$F$52,'Customer Sector'!$F$29,'Customer Sector'!$F$53),T97,0)</f>
        <v>0</v>
      </c>
      <c r="V97" s="365">
        <f>IF(V$15-$L$15&lt;IF('Customer Sector'!$F$52,'Customer Sector'!$F$29,'Customer Sector'!$F$53),U97,0)</f>
        <v>0</v>
      </c>
      <c r="W97" s="365">
        <f>IF(W$15-$L$15&lt;IF('Customer Sector'!$F$52,'Customer Sector'!$F$29,'Customer Sector'!$F$53),V97,0)</f>
        <v>0</v>
      </c>
      <c r="X97" s="365">
        <f>IF(X$15-$L$15&lt;IF('Customer Sector'!$F$52,'Customer Sector'!$F$29,'Customer Sector'!$F$53),W97,0)</f>
        <v>0</v>
      </c>
      <c r="Y97" s="365">
        <f>IF(Y$15-$L$15&lt;IF('Customer Sector'!$F$52,'Customer Sector'!$F$29,'Customer Sector'!$F$53),X97,0)</f>
        <v>0</v>
      </c>
      <c r="Z97" s="365">
        <f>IF(Z$15-$L$15&lt;IF('Customer Sector'!$F$52,'Customer Sector'!$F$29,'Customer Sector'!$F$53),Y97,0)</f>
        <v>0</v>
      </c>
      <c r="AA97" s="365">
        <f>IF(AA$15-$L$15&lt;IF('Customer Sector'!$F$52,'Customer Sector'!$F$29,'Customer Sector'!$F$53),Z97,0)</f>
        <v>0</v>
      </c>
      <c r="AB97" s="365">
        <f>IF(AB$15-$L$15&lt;IF('Customer Sector'!$F$52,'Customer Sector'!$F$29,'Customer Sector'!$F$53),AA97,0)</f>
        <v>0</v>
      </c>
      <c r="AC97" s="365">
        <f>IF(AC$15-$L$15&lt;IF('Customer Sector'!$F$52,'Customer Sector'!$F$29,'Customer Sector'!$F$53),AB97,0)</f>
        <v>0</v>
      </c>
      <c r="AD97" s="365">
        <f>IF(AD$15-$L$15&lt;IF('Customer Sector'!$F$52,'Customer Sector'!$F$29,'Customer Sector'!$F$53),AC97,0)</f>
        <v>0</v>
      </c>
      <c r="AE97" s="365">
        <f>IF(AE$15-$L$15&lt;IF('Customer Sector'!$F$52,'Customer Sector'!$F$29,'Customer Sector'!$F$53),AD97,0)</f>
        <v>0</v>
      </c>
      <c r="AF97" s="366">
        <f>IF(AF$15-$L$15&lt;IF('Customer Sector'!$F$52,'Customer Sector'!$F$29,'Customer Sector'!$F$53),AE97,0)</f>
        <v>0</v>
      </c>
      <c r="AH97" s="329"/>
      <c r="AI97" s="367" t="s">
        <v>386</v>
      </c>
      <c r="AJ97" s="367"/>
      <c r="AK97" s="368"/>
      <c r="AL97" s="369" t="s">
        <v>19</v>
      </c>
      <c r="AM97" s="365">
        <v>0</v>
      </c>
      <c r="AN97" s="365">
        <v>0</v>
      </c>
      <c r="AO97" s="365">
        <v>0</v>
      </c>
      <c r="AP97" s="365">
        <v>0</v>
      </c>
      <c r="AQ97" s="365">
        <v>0</v>
      </c>
      <c r="AR97" s="365">
        <f>(AR7/IF('Customer Sector'!$L$52,'Customer Sector'!$L$29,'Customer Sector'!$L$53))/AR58</f>
        <v>8.9139313268325819E-5</v>
      </c>
      <c r="AS97" s="365">
        <f>IF(AS$15-$AR$15&lt;IF('Customer Sector'!$L$52,'Customer Sector'!$L$29,'Customer Sector'!$L$53),AR97,0)</f>
        <v>8.9139313268325819E-5</v>
      </c>
      <c r="AT97" s="365">
        <f>IF(AT$15-$AR$15&lt;IF('Customer Sector'!$L$52,'Customer Sector'!$L$29,'Customer Sector'!$L$53),AS97,0)</f>
        <v>8.9139313268325819E-5</v>
      </c>
      <c r="AU97" s="365">
        <f>IF(AU$15-$AR$15&lt;IF('Customer Sector'!$L$52,'Customer Sector'!$L$29,'Customer Sector'!$L$53),AT97,0)</f>
        <v>0</v>
      </c>
      <c r="AV97" s="365">
        <f>IF(AV$15-$AR$15&lt;IF('Customer Sector'!$L$52,'Customer Sector'!$L$29,'Customer Sector'!$L$53),AU97,0)</f>
        <v>0</v>
      </c>
      <c r="AW97" s="365">
        <f>IF(AW$15-$AR$15&lt;IF('Customer Sector'!$L$52,'Customer Sector'!$L$29,'Customer Sector'!$L$53),AV97,0)</f>
        <v>0</v>
      </c>
      <c r="AX97" s="365">
        <f>IF(AX$15-$AR$15&lt;IF('Customer Sector'!$L$52,'Customer Sector'!$L$29,'Customer Sector'!$L$53),AW97,0)</f>
        <v>0</v>
      </c>
      <c r="AY97" s="365">
        <f>IF(AY$15-$AR$15&lt;IF('Customer Sector'!$L$52,'Customer Sector'!$L$29,'Customer Sector'!$L$53),AX97,0)</f>
        <v>0</v>
      </c>
      <c r="AZ97" s="365">
        <f>IF(AZ$15-$AR$15&lt;IF('Customer Sector'!$L$52,'Customer Sector'!$L$29,'Customer Sector'!$L$53),AY97,0)</f>
        <v>0</v>
      </c>
      <c r="BA97" s="365">
        <f>IF(BA$15-$AR$15&lt;IF('Customer Sector'!$L$52,'Customer Sector'!$L$29,'Customer Sector'!$L$53),AZ97,0)</f>
        <v>0</v>
      </c>
      <c r="BB97" s="365">
        <f>IF(BB$15-$AR$15&lt;IF('Customer Sector'!$L$52,'Customer Sector'!$L$29,'Customer Sector'!$L$53),BA97,0)</f>
        <v>0</v>
      </c>
      <c r="BC97" s="365">
        <f>IF(BC$15-$AR$15&lt;IF('Customer Sector'!$L$52,'Customer Sector'!$L$29,'Customer Sector'!$L$53),BB97,0)</f>
        <v>0</v>
      </c>
      <c r="BD97" s="365">
        <f>IF(BD$15-$AR$15&lt;IF('Customer Sector'!$L$52,'Customer Sector'!$L$29,'Customer Sector'!$L$53),BC97,0)</f>
        <v>0</v>
      </c>
      <c r="BE97" s="365">
        <f>IF(BE$15-$AR$15&lt;IF('Customer Sector'!$L$52,'Customer Sector'!$L$29,'Customer Sector'!$L$53),BD97,0)</f>
        <v>0</v>
      </c>
      <c r="BF97" s="365">
        <f>IF(BF$15-$AR$15&lt;IF('Customer Sector'!$L$52,'Customer Sector'!$L$29,'Customer Sector'!$L$53),BE97,0)</f>
        <v>0</v>
      </c>
      <c r="BG97" s="365">
        <f>IF(BG$15-$AR$15&lt;IF('Customer Sector'!$L$52,'Customer Sector'!$L$29,'Customer Sector'!$L$53),BF97,0)</f>
        <v>0</v>
      </c>
      <c r="BH97" s="365">
        <f>IF(BH$15-$AR$15&lt;IF('Customer Sector'!$L$52,'Customer Sector'!$L$29,'Customer Sector'!$L$53),BG97,0)</f>
        <v>0</v>
      </c>
      <c r="BI97" s="365">
        <f>IF(BI$15-$AR$15&lt;IF('Customer Sector'!$L$52,'Customer Sector'!$L$29,'Customer Sector'!$L$53),BH97,0)</f>
        <v>0</v>
      </c>
      <c r="BJ97" s="365">
        <f>IF(BJ$15-$AR$15&lt;IF('Customer Sector'!$L$52,'Customer Sector'!$L$29,'Customer Sector'!$L$53),BI97,0)</f>
        <v>0</v>
      </c>
      <c r="BK97" s="365">
        <f>IF(BK$15-$AR$15&lt;IF('Customer Sector'!$L$52,'Customer Sector'!$L$29,'Customer Sector'!$L$53),BJ97,0)</f>
        <v>0</v>
      </c>
      <c r="BL97" s="366">
        <f>IF(BL$15-$AR$15&lt;IF('Customer Sector'!$L$52,'Customer Sector'!$L$29,'Customer Sector'!$L$53),BK97,0)</f>
        <v>0</v>
      </c>
    </row>
    <row r="98" spans="2:64" hidden="1" outlineLevel="1" x14ac:dyDescent="0.25">
      <c r="B98" s="329"/>
      <c r="C98" s="367" t="s">
        <v>387</v>
      </c>
      <c r="D98" s="367"/>
      <c r="E98" s="368"/>
      <c r="F98" s="369" t="s">
        <v>19</v>
      </c>
      <c r="G98" s="365">
        <v>0</v>
      </c>
      <c r="H98" s="365">
        <v>0</v>
      </c>
      <c r="I98" s="365">
        <v>0</v>
      </c>
      <c r="J98" s="365">
        <v>0</v>
      </c>
      <c r="K98" s="365">
        <v>0</v>
      </c>
      <c r="L98" s="365">
        <v>0</v>
      </c>
      <c r="M98" s="365">
        <f>PMT('Utility Sector'!$E$18,IF('Customer Sector'!$F$52,'Customer Sector'!$F$29,'Customer Sector'!$F$53),-(M$7+M8))/M$58</f>
        <v>3.1325194168136056E-4</v>
      </c>
      <c r="N98" s="365">
        <f>IF(N$15-$M$15&lt;IF('Customer Sector'!$F$52,'Customer Sector'!$F$29,'Customer Sector'!$F$53),M98,0)</f>
        <v>3.1325194168136056E-4</v>
      </c>
      <c r="O98" s="365">
        <f>IF(O$15-$M$15&lt;IF('Customer Sector'!$F$52,'Customer Sector'!$F$29,'Customer Sector'!$F$53),N98,0)</f>
        <v>3.1325194168136056E-4</v>
      </c>
      <c r="P98" s="365">
        <f>IF(P$15-$M$15&lt;IF('Customer Sector'!$F$52,'Customer Sector'!$F$29,'Customer Sector'!$F$53),O98,0)</f>
        <v>0</v>
      </c>
      <c r="Q98" s="365">
        <f>IF(Q$15-$M$15&lt;IF('Customer Sector'!$F$52,'Customer Sector'!$F$29,'Customer Sector'!$F$53),P98,0)</f>
        <v>0</v>
      </c>
      <c r="R98" s="365">
        <f>IF(R$15-$M$15&lt;IF('Customer Sector'!$F$52,'Customer Sector'!$F$29,'Customer Sector'!$F$53),Q98,0)</f>
        <v>0</v>
      </c>
      <c r="S98" s="365">
        <f>IF(S$15-$M$15&lt;IF('Customer Sector'!$F$52,'Customer Sector'!$F$29,'Customer Sector'!$F$53),R98,0)</f>
        <v>0</v>
      </c>
      <c r="T98" s="365">
        <f>IF(T$15-$M$15&lt;IF('Customer Sector'!$F$52,'Customer Sector'!$F$29,'Customer Sector'!$F$53),S98,0)</f>
        <v>0</v>
      </c>
      <c r="U98" s="365">
        <f>IF(U$15-$M$15&lt;IF('Customer Sector'!$F$52,'Customer Sector'!$F$29,'Customer Sector'!$F$53),T98,0)</f>
        <v>0</v>
      </c>
      <c r="V98" s="365">
        <f>IF(V$15-$M$15&lt;IF('Customer Sector'!$F$52,'Customer Sector'!$F$29,'Customer Sector'!$F$53),U98,0)</f>
        <v>0</v>
      </c>
      <c r="W98" s="365">
        <f>IF(W$15-$M$15&lt;IF('Customer Sector'!$F$52,'Customer Sector'!$F$29,'Customer Sector'!$F$53),V98,0)</f>
        <v>0</v>
      </c>
      <c r="X98" s="365">
        <f>IF(X$15-$M$15&lt;IF('Customer Sector'!$F$52,'Customer Sector'!$F$29,'Customer Sector'!$F$53),W98,0)</f>
        <v>0</v>
      </c>
      <c r="Y98" s="365">
        <f>IF(Y$15-$M$15&lt;IF('Customer Sector'!$F$52,'Customer Sector'!$F$29,'Customer Sector'!$F$53),X98,0)</f>
        <v>0</v>
      </c>
      <c r="Z98" s="365">
        <f>IF(Z$15-$M$15&lt;IF('Customer Sector'!$F$52,'Customer Sector'!$F$29,'Customer Sector'!$F$53),Y98,0)</f>
        <v>0</v>
      </c>
      <c r="AA98" s="365">
        <f>IF(AA$15-$M$15&lt;IF('Customer Sector'!$F$52,'Customer Sector'!$F$29,'Customer Sector'!$F$53),Z98,0)</f>
        <v>0</v>
      </c>
      <c r="AB98" s="365">
        <f>IF(AB$15-$M$15&lt;IF('Customer Sector'!$F$52,'Customer Sector'!$F$29,'Customer Sector'!$F$53),AA98,0)</f>
        <v>0</v>
      </c>
      <c r="AC98" s="365">
        <f>IF(AC$15-$M$15&lt;IF('Customer Sector'!$F$52,'Customer Sector'!$F$29,'Customer Sector'!$F$53),AB98,0)</f>
        <v>0</v>
      </c>
      <c r="AD98" s="365">
        <f>IF(AD$15-$M$15&lt;IF('Customer Sector'!$F$52,'Customer Sector'!$F$29,'Customer Sector'!$F$53),AC98,0)</f>
        <v>0</v>
      </c>
      <c r="AE98" s="365">
        <f>IF(AE$15-$M$15&lt;IF('Customer Sector'!$F$52,'Customer Sector'!$F$29,'Customer Sector'!$F$53),AD98,0)</f>
        <v>0</v>
      </c>
      <c r="AF98" s="366">
        <f>IF(AF$15-$M$15&lt;IF('Customer Sector'!$F$52,'Customer Sector'!$F$29,'Customer Sector'!$F$53),AE98,0)</f>
        <v>0</v>
      </c>
      <c r="AH98" s="329"/>
      <c r="AI98" s="367" t="s">
        <v>387</v>
      </c>
      <c r="AJ98" s="367"/>
      <c r="AK98" s="368"/>
      <c r="AL98" s="369" t="s">
        <v>19</v>
      </c>
      <c r="AM98" s="365">
        <v>0</v>
      </c>
      <c r="AN98" s="365">
        <v>0</v>
      </c>
      <c r="AO98" s="365">
        <v>0</v>
      </c>
      <c r="AP98" s="365">
        <v>0</v>
      </c>
      <c r="AQ98" s="365">
        <v>0</v>
      </c>
      <c r="AR98" s="365">
        <v>0</v>
      </c>
      <c r="AS98" s="365">
        <f>(AS7/IF('Customer Sector'!$L$52,'Customer Sector'!$L$29,'Customer Sector'!$L$53))/AS58</f>
        <v>9.1197203766749175E-5</v>
      </c>
      <c r="AT98" s="365">
        <f>IF(AT$15-$AS$15&lt;IF('Customer Sector'!$L$52,'Customer Sector'!$L$29,'Customer Sector'!$L$53),AS98,0)</f>
        <v>9.1197203766749175E-5</v>
      </c>
      <c r="AU98" s="365">
        <f>IF(AU$15-$AS$15&lt;IF('Customer Sector'!$L$52,'Customer Sector'!$L$29,'Customer Sector'!$L$53),AT98,0)</f>
        <v>9.1197203766749175E-5</v>
      </c>
      <c r="AV98" s="365">
        <f>IF(AV$15-$AS$15&lt;IF('Customer Sector'!$L$52,'Customer Sector'!$L$29,'Customer Sector'!$L$53),AU98,0)</f>
        <v>0</v>
      </c>
      <c r="AW98" s="365">
        <f>IF(AW$15-$AS$15&lt;IF('Customer Sector'!$L$52,'Customer Sector'!$L$29,'Customer Sector'!$L$53),AV98,0)</f>
        <v>0</v>
      </c>
      <c r="AX98" s="365">
        <f>IF(AX$15-$AS$15&lt;IF('Customer Sector'!$L$52,'Customer Sector'!$L$29,'Customer Sector'!$L$53),AW98,0)</f>
        <v>0</v>
      </c>
      <c r="AY98" s="365">
        <f>IF(AY$15-$AS$15&lt;IF('Customer Sector'!$L$52,'Customer Sector'!$L$29,'Customer Sector'!$L$53),AX98,0)</f>
        <v>0</v>
      </c>
      <c r="AZ98" s="365">
        <f>IF(AZ$15-$AS$15&lt;IF('Customer Sector'!$L$52,'Customer Sector'!$L$29,'Customer Sector'!$L$53),AY98,0)</f>
        <v>0</v>
      </c>
      <c r="BA98" s="365">
        <f>IF(BA$15-$AS$15&lt;IF('Customer Sector'!$L$52,'Customer Sector'!$L$29,'Customer Sector'!$L$53),AZ98,0)</f>
        <v>0</v>
      </c>
      <c r="BB98" s="365">
        <f>IF(BB$15-$AS$15&lt;IF('Customer Sector'!$L$52,'Customer Sector'!$L$29,'Customer Sector'!$L$53),BA98,0)</f>
        <v>0</v>
      </c>
      <c r="BC98" s="365">
        <f>IF(BC$15-$AS$15&lt;IF('Customer Sector'!$L$52,'Customer Sector'!$L$29,'Customer Sector'!$L$53),BB98,0)</f>
        <v>0</v>
      </c>
      <c r="BD98" s="365">
        <f>IF(BD$15-$AS$15&lt;IF('Customer Sector'!$L$52,'Customer Sector'!$L$29,'Customer Sector'!$L$53),BC98,0)</f>
        <v>0</v>
      </c>
      <c r="BE98" s="365">
        <f>IF(BE$15-$AS$15&lt;IF('Customer Sector'!$L$52,'Customer Sector'!$L$29,'Customer Sector'!$L$53),BD98,0)</f>
        <v>0</v>
      </c>
      <c r="BF98" s="365">
        <f>IF(BF$15-$AS$15&lt;IF('Customer Sector'!$L$52,'Customer Sector'!$L$29,'Customer Sector'!$L$53),BE98,0)</f>
        <v>0</v>
      </c>
      <c r="BG98" s="365">
        <f>IF(BG$15-$AS$15&lt;IF('Customer Sector'!$L$52,'Customer Sector'!$L$29,'Customer Sector'!$L$53),BF98,0)</f>
        <v>0</v>
      </c>
      <c r="BH98" s="365">
        <f>IF(BH$15-$AS$15&lt;IF('Customer Sector'!$L$52,'Customer Sector'!$L$29,'Customer Sector'!$L$53),BG98,0)</f>
        <v>0</v>
      </c>
      <c r="BI98" s="365">
        <f>IF(BI$15-$AS$15&lt;IF('Customer Sector'!$L$52,'Customer Sector'!$L$29,'Customer Sector'!$L$53),BH98,0)</f>
        <v>0</v>
      </c>
      <c r="BJ98" s="365">
        <f>IF(BJ$15-$AS$15&lt;IF('Customer Sector'!$L$52,'Customer Sector'!$L$29,'Customer Sector'!$L$53),BI98,0)</f>
        <v>0</v>
      </c>
      <c r="BK98" s="365">
        <f>IF(BK$15-$AS$15&lt;IF('Customer Sector'!$L$52,'Customer Sector'!$L$29,'Customer Sector'!$L$53),BJ98,0)</f>
        <v>0</v>
      </c>
      <c r="BL98" s="366">
        <f>IF(BL$15-$AS$15&lt;IF('Customer Sector'!$L$52,'Customer Sector'!$L$29,'Customer Sector'!$L$53),BK98,0)</f>
        <v>0</v>
      </c>
    </row>
    <row r="99" spans="2:64" hidden="1" outlineLevel="1" x14ac:dyDescent="0.25">
      <c r="B99" s="329"/>
      <c r="C99" s="367" t="s">
        <v>388</v>
      </c>
      <c r="D99" s="367"/>
      <c r="E99" s="368"/>
      <c r="F99" s="369" t="s">
        <v>19</v>
      </c>
      <c r="G99" s="365">
        <v>0</v>
      </c>
      <c r="H99" s="365">
        <v>0</v>
      </c>
      <c r="I99" s="365">
        <v>0</v>
      </c>
      <c r="J99" s="365">
        <v>0</v>
      </c>
      <c r="K99" s="365">
        <v>0</v>
      </c>
      <c r="L99" s="365">
        <v>0</v>
      </c>
      <c r="M99" s="365">
        <v>0</v>
      </c>
      <c r="N99" s="365">
        <f>PMT('Utility Sector'!$E$18,IF('Customer Sector'!$F$52,'Customer Sector'!$F$29,'Customer Sector'!$F$53),-(N$7+N8))/N$58</f>
        <v>3.1898876505986895E-4</v>
      </c>
      <c r="O99" s="365">
        <f>IF(O$15-$N$15&lt;IF('Customer Sector'!$F$52,'Customer Sector'!$F$29,'Customer Sector'!$F$53),N99,0)</f>
        <v>3.1898876505986895E-4</v>
      </c>
      <c r="P99" s="365">
        <f>IF(P$15-$N$15&lt;IF('Customer Sector'!$F$52,'Customer Sector'!$F$29,'Customer Sector'!$F$53),O99,0)</f>
        <v>3.1898876505986895E-4</v>
      </c>
      <c r="Q99" s="365">
        <f>IF(Q$15-$N$15&lt;IF('Customer Sector'!$F$52,'Customer Sector'!$F$29,'Customer Sector'!$F$53),P99,0)</f>
        <v>0</v>
      </c>
      <c r="R99" s="365">
        <f>IF(R$15-$N$15&lt;IF('Customer Sector'!$F$52,'Customer Sector'!$F$29,'Customer Sector'!$F$53),Q99,0)</f>
        <v>0</v>
      </c>
      <c r="S99" s="365">
        <f>IF(S$15-$N$15&lt;IF('Customer Sector'!$F$52,'Customer Sector'!$F$29,'Customer Sector'!$F$53),R99,0)</f>
        <v>0</v>
      </c>
      <c r="T99" s="365">
        <f>IF(T$15-$N$15&lt;IF('Customer Sector'!$F$52,'Customer Sector'!$F$29,'Customer Sector'!$F$53),S99,0)</f>
        <v>0</v>
      </c>
      <c r="U99" s="365">
        <f>IF(U$15-$N$15&lt;IF('Customer Sector'!$F$52,'Customer Sector'!$F$29,'Customer Sector'!$F$53),T99,0)</f>
        <v>0</v>
      </c>
      <c r="V99" s="365">
        <f>IF(V$15-$N$15&lt;IF('Customer Sector'!$F$52,'Customer Sector'!$F$29,'Customer Sector'!$F$53),U99,0)</f>
        <v>0</v>
      </c>
      <c r="W99" s="365">
        <f>IF(W$15-$N$15&lt;IF('Customer Sector'!$F$52,'Customer Sector'!$F$29,'Customer Sector'!$F$53),V99,0)</f>
        <v>0</v>
      </c>
      <c r="X99" s="365">
        <f>IF(X$15-$N$15&lt;IF('Customer Sector'!$F$52,'Customer Sector'!$F$29,'Customer Sector'!$F$53),W99,0)</f>
        <v>0</v>
      </c>
      <c r="Y99" s="365">
        <f>IF(Y$15-$N$15&lt;IF('Customer Sector'!$F$52,'Customer Sector'!$F$29,'Customer Sector'!$F$53),X99,0)</f>
        <v>0</v>
      </c>
      <c r="Z99" s="365">
        <f>IF(Z$15-$N$15&lt;IF('Customer Sector'!$F$52,'Customer Sector'!$F$29,'Customer Sector'!$F$53),Y99,0)</f>
        <v>0</v>
      </c>
      <c r="AA99" s="365">
        <f>IF(AA$15-$N$15&lt;IF('Customer Sector'!$F$52,'Customer Sector'!$F$29,'Customer Sector'!$F$53),Z99,0)</f>
        <v>0</v>
      </c>
      <c r="AB99" s="365">
        <f>IF(AB$15-$N$15&lt;IF('Customer Sector'!$F$52,'Customer Sector'!$F$29,'Customer Sector'!$F$53),AA99,0)</f>
        <v>0</v>
      </c>
      <c r="AC99" s="365">
        <f>IF(AC$15-$N$15&lt;IF('Customer Sector'!$F$52,'Customer Sector'!$F$29,'Customer Sector'!$F$53),AB99,0)</f>
        <v>0</v>
      </c>
      <c r="AD99" s="365">
        <f>IF(AD$15-$N$15&lt;IF('Customer Sector'!$F$52,'Customer Sector'!$F$29,'Customer Sector'!$F$53),AC99,0)</f>
        <v>0</v>
      </c>
      <c r="AE99" s="365">
        <f>IF(AE$15-$N$15&lt;IF('Customer Sector'!$F$52,'Customer Sector'!$F$29,'Customer Sector'!$F$53),AD99,0)</f>
        <v>0</v>
      </c>
      <c r="AF99" s="366">
        <f>IF(AF$15-$N$15&lt;IF('Customer Sector'!$F$52,'Customer Sector'!$F$29,'Customer Sector'!$F$53),AE99,0)</f>
        <v>0</v>
      </c>
      <c r="AH99" s="329"/>
      <c r="AI99" s="367" t="s">
        <v>388</v>
      </c>
      <c r="AJ99" s="367"/>
      <c r="AK99" s="368"/>
      <c r="AL99" s="369" t="s">
        <v>19</v>
      </c>
      <c r="AM99" s="365">
        <v>0</v>
      </c>
      <c r="AN99" s="365">
        <v>0</v>
      </c>
      <c r="AO99" s="365">
        <v>0</v>
      </c>
      <c r="AP99" s="365">
        <v>0</v>
      </c>
      <c r="AQ99" s="365">
        <v>0</v>
      </c>
      <c r="AR99" s="365">
        <v>0</v>
      </c>
      <c r="AS99" s="365">
        <v>0</v>
      </c>
      <c r="AT99" s="365">
        <f>(AT7/IF('Customer Sector'!$L$52,'Customer Sector'!$L$29,'Customer Sector'!$L$53))/AT58</f>
        <v>9.3335475496712873E-5</v>
      </c>
      <c r="AU99" s="365">
        <f>IF(AU$15-$AT$15&lt;IF('Customer Sector'!$L$52,'Customer Sector'!$L$29,'Customer Sector'!$L$53),AT99,0)</f>
        <v>9.3335475496712873E-5</v>
      </c>
      <c r="AV99" s="365">
        <f>IF(AV$15-$AT$15&lt;IF('Customer Sector'!$L$52,'Customer Sector'!$L$29,'Customer Sector'!$L$53),AU99,0)</f>
        <v>9.3335475496712873E-5</v>
      </c>
      <c r="AW99" s="365">
        <f>IF(AW$15-$AT$15&lt;IF('Customer Sector'!$L$52,'Customer Sector'!$L$29,'Customer Sector'!$L$53),AV99,0)</f>
        <v>0</v>
      </c>
      <c r="AX99" s="365">
        <f>IF(AX$15-$AT$15&lt;IF('Customer Sector'!$L$52,'Customer Sector'!$L$29,'Customer Sector'!$L$53),AW99,0)</f>
        <v>0</v>
      </c>
      <c r="AY99" s="365">
        <f>IF(AY$15-$AT$15&lt;IF('Customer Sector'!$L$52,'Customer Sector'!$L$29,'Customer Sector'!$L$53),AX99,0)</f>
        <v>0</v>
      </c>
      <c r="AZ99" s="365">
        <f>IF(AZ$15-$AT$15&lt;IF('Customer Sector'!$L$52,'Customer Sector'!$L$29,'Customer Sector'!$L$53),AY99,0)</f>
        <v>0</v>
      </c>
      <c r="BA99" s="365">
        <f>IF(BA$15-$AT$15&lt;IF('Customer Sector'!$L$52,'Customer Sector'!$L$29,'Customer Sector'!$L$53),AZ99,0)</f>
        <v>0</v>
      </c>
      <c r="BB99" s="365">
        <f>IF(BB$15-$AT$15&lt;IF('Customer Sector'!$L$52,'Customer Sector'!$L$29,'Customer Sector'!$L$53),BA99,0)</f>
        <v>0</v>
      </c>
      <c r="BC99" s="365">
        <f>IF(BC$15-$AT$15&lt;IF('Customer Sector'!$L$52,'Customer Sector'!$L$29,'Customer Sector'!$L$53),BB99,0)</f>
        <v>0</v>
      </c>
      <c r="BD99" s="365">
        <f>IF(BD$15-$AT$15&lt;IF('Customer Sector'!$L$52,'Customer Sector'!$L$29,'Customer Sector'!$L$53),BC99,0)</f>
        <v>0</v>
      </c>
      <c r="BE99" s="365">
        <f>IF(BE$15-$AT$15&lt;IF('Customer Sector'!$L$52,'Customer Sector'!$L$29,'Customer Sector'!$L$53),BD99,0)</f>
        <v>0</v>
      </c>
      <c r="BF99" s="365">
        <f>IF(BF$15-$AT$15&lt;IF('Customer Sector'!$L$52,'Customer Sector'!$L$29,'Customer Sector'!$L$53),BE99,0)</f>
        <v>0</v>
      </c>
      <c r="BG99" s="365">
        <f>IF(BG$15-$AT$15&lt;IF('Customer Sector'!$L$52,'Customer Sector'!$L$29,'Customer Sector'!$L$53),BF99,0)</f>
        <v>0</v>
      </c>
      <c r="BH99" s="365">
        <f>IF(BH$15-$AT$15&lt;IF('Customer Sector'!$L$52,'Customer Sector'!$L$29,'Customer Sector'!$L$53),BG99,0)</f>
        <v>0</v>
      </c>
      <c r="BI99" s="365">
        <f>IF(BI$15-$AT$15&lt;IF('Customer Sector'!$L$52,'Customer Sector'!$L$29,'Customer Sector'!$L$53),BH99,0)</f>
        <v>0</v>
      </c>
      <c r="BJ99" s="365">
        <f>IF(BJ$15-$AT$15&lt;IF('Customer Sector'!$L$52,'Customer Sector'!$L$29,'Customer Sector'!$L$53),BI99,0)</f>
        <v>0</v>
      </c>
      <c r="BK99" s="365">
        <f>IF(BK$15-$AT$15&lt;IF('Customer Sector'!$L$52,'Customer Sector'!$L$29,'Customer Sector'!$L$53),BJ99,0)</f>
        <v>0</v>
      </c>
      <c r="BL99" s="366">
        <f>IF(BL$15-$AT$15&lt;IF('Customer Sector'!$L$52,'Customer Sector'!$L$29,'Customer Sector'!$L$53),BK99,0)</f>
        <v>0</v>
      </c>
    </row>
    <row r="100" spans="2:64" hidden="1" outlineLevel="1" x14ac:dyDescent="0.25">
      <c r="B100" s="329"/>
      <c r="C100" s="367" t="s">
        <v>389</v>
      </c>
      <c r="D100" s="367"/>
      <c r="E100" s="368"/>
      <c r="F100" s="369" t="s">
        <v>19</v>
      </c>
      <c r="G100" s="365">
        <v>0</v>
      </c>
      <c r="H100" s="365">
        <v>0</v>
      </c>
      <c r="I100" s="365">
        <v>0</v>
      </c>
      <c r="J100" s="365">
        <v>0</v>
      </c>
      <c r="K100" s="365">
        <v>0</v>
      </c>
      <c r="L100" s="365">
        <v>0</v>
      </c>
      <c r="M100" s="365">
        <v>0</v>
      </c>
      <c r="N100" s="365">
        <v>0</v>
      </c>
      <c r="O100" s="365">
        <f>PMT('Utility Sector'!$E$18,IF('Customer Sector'!$F$52,'Customer Sector'!$F$29,'Customer Sector'!$F$53),-(O$7+O8))/O$58</f>
        <v>3.2483059617034456E-4</v>
      </c>
      <c r="P100" s="365">
        <f>IF(P$15-$O$15&lt;IF('Customer Sector'!$F$52,'Customer Sector'!$F$29,'Customer Sector'!$F$53),O100,0)</f>
        <v>3.2483059617034456E-4</v>
      </c>
      <c r="Q100" s="365">
        <f>IF(Q$15-$O$15&lt;IF('Customer Sector'!$F$52,'Customer Sector'!$F$29,'Customer Sector'!$F$53),P100,0)</f>
        <v>3.2483059617034456E-4</v>
      </c>
      <c r="R100" s="365">
        <f>IF(R$15-$O$15&lt;IF('Customer Sector'!$F$52,'Customer Sector'!$F$29,'Customer Sector'!$F$53),Q100,0)</f>
        <v>0</v>
      </c>
      <c r="S100" s="365">
        <f>IF(S$15-$O$15&lt;IF('Customer Sector'!$F$52,'Customer Sector'!$F$29,'Customer Sector'!$F$53),R100,0)</f>
        <v>0</v>
      </c>
      <c r="T100" s="365">
        <f>IF(T$15-$O$15&lt;IF('Customer Sector'!$F$52,'Customer Sector'!$F$29,'Customer Sector'!$F$53),S100,0)</f>
        <v>0</v>
      </c>
      <c r="U100" s="365">
        <f>IF(U$15-$O$15&lt;IF('Customer Sector'!$F$52,'Customer Sector'!$F$29,'Customer Sector'!$F$53),T100,0)</f>
        <v>0</v>
      </c>
      <c r="V100" s="365">
        <f>IF(V$15-$O$15&lt;IF('Customer Sector'!$F$52,'Customer Sector'!$F$29,'Customer Sector'!$F$53),U100,0)</f>
        <v>0</v>
      </c>
      <c r="W100" s="365">
        <f>IF(W$15-$O$15&lt;IF('Customer Sector'!$F$52,'Customer Sector'!$F$29,'Customer Sector'!$F$53),V100,0)</f>
        <v>0</v>
      </c>
      <c r="X100" s="365">
        <f>IF(X$15-$O$15&lt;IF('Customer Sector'!$F$52,'Customer Sector'!$F$29,'Customer Sector'!$F$53),W100,0)</f>
        <v>0</v>
      </c>
      <c r="Y100" s="365">
        <f>IF(Y$15-$O$15&lt;IF('Customer Sector'!$F$52,'Customer Sector'!$F$29,'Customer Sector'!$F$53),X100,0)</f>
        <v>0</v>
      </c>
      <c r="Z100" s="365">
        <f>IF(Z$15-$O$15&lt;IF('Customer Sector'!$F$52,'Customer Sector'!$F$29,'Customer Sector'!$F$53),Y100,0)</f>
        <v>0</v>
      </c>
      <c r="AA100" s="365">
        <f>IF(AA$15-$O$15&lt;IF('Customer Sector'!$F$52,'Customer Sector'!$F$29,'Customer Sector'!$F$53),Z100,0)</f>
        <v>0</v>
      </c>
      <c r="AB100" s="365">
        <f>IF(AB$15-$O$15&lt;IF('Customer Sector'!$F$52,'Customer Sector'!$F$29,'Customer Sector'!$F$53),AA100,0)</f>
        <v>0</v>
      </c>
      <c r="AC100" s="365">
        <f>IF(AC$15-$O$15&lt;IF('Customer Sector'!$F$52,'Customer Sector'!$F$29,'Customer Sector'!$F$53),AB100,0)</f>
        <v>0</v>
      </c>
      <c r="AD100" s="365">
        <f>IF(AD$15-$O$15&lt;IF('Customer Sector'!$F$52,'Customer Sector'!$F$29,'Customer Sector'!$F$53),AC100,0)</f>
        <v>0</v>
      </c>
      <c r="AE100" s="365">
        <f>IF(AE$15-$O$15&lt;IF('Customer Sector'!$F$52,'Customer Sector'!$F$29,'Customer Sector'!$F$53),AD100,0)</f>
        <v>0</v>
      </c>
      <c r="AF100" s="366">
        <f>IF(AF$15-$O$15&lt;IF('Customer Sector'!$F$52,'Customer Sector'!$F$29,'Customer Sector'!$F$53),AE100,0)</f>
        <v>0</v>
      </c>
      <c r="AH100" s="329"/>
      <c r="AI100" s="367" t="s">
        <v>389</v>
      </c>
      <c r="AJ100" s="367"/>
      <c r="AK100" s="368"/>
      <c r="AL100" s="369" t="s">
        <v>19</v>
      </c>
      <c r="AM100" s="365">
        <v>0</v>
      </c>
      <c r="AN100" s="365">
        <v>0</v>
      </c>
      <c r="AO100" s="365">
        <v>0</v>
      </c>
      <c r="AP100" s="365">
        <v>0</v>
      </c>
      <c r="AQ100" s="365">
        <v>0</v>
      </c>
      <c r="AR100" s="365">
        <v>0</v>
      </c>
      <c r="AS100" s="365">
        <v>0</v>
      </c>
      <c r="AT100" s="365">
        <v>0</v>
      </c>
      <c r="AU100" s="365">
        <f>(AU7/IF('Customer Sector'!$L$52,'Customer Sector'!$L$29,'Customer Sector'!$L$53))/AU58</f>
        <v>9.5559818758551474E-5</v>
      </c>
      <c r="AV100" s="365">
        <f>IF(AV$15-$AU$15&lt;IF('Customer Sector'!$L$52,'Customer Sector'!$L$29,'Customer Sector'!$L$53),AU100,0)</f>
        <v>9.5559818758551474E-5</v>
      </c>
      <c r="AW100" s="365">
        <f>IF(AW$15-$AU$15&lt;IF('Customer Sector'!$L$52,'Customer Sector'!$L$29,'Customer Sector'!$L$53),AV100,0)</f>
        <v>9.5559818758551474E-5</v>
      </c>
      <c r="AX100" s="365">
        <f>IF(AX$15-$AU$15&lt;IF('Customer Sector'!$L$52,'Customer Sector'!$L$29,'Customer Sector'!$L$53),AW100,0)</f>
        <v>0</v>
      </c>
      <c r="AY100" s="365">
        <f>IF(AY$15-$AU$15&lt;IF('Customer Sector'!$L$52,'Customer Sector'!$L$29,'Customer Sector'!$L$53),AX100,0)</f>
        <v>0</v>
      </c>
      <c r="AZ100" s="365">
        <f>IF(AZ$15-$AU$15&lt;IF('Customer Sector'!$L$52,'Customer Sector'!$L$29,'Customer Sector'!$L$53),AY100,0)</f>
        <v>0</v>
      </c>
      <c r="BA100" s="365">
        <f>IF(BA$15-$AU$15&lt;IF('Customer Sector'!$L$52,'Customer Sector'!$L$29,'Customer Sector'!$L$53),AZ100,0)</f>
        <v>0</v>
      </c>
      <c r="BB100" s="365">
        <f>IF(BB$15-$AU$15&lt;IF('Customer Sector'!$L$52,'Customer Sector'!$L$29,'Customer Sector'!$L$53),BA100,0)</f>
        <v>0</v>
      </c>
      <c r="BC100" s="365">
        <f>IF(BC$15-$AU$15&lt;IF('Customer Sector'!$L$52,'Customer Sector'!$L$29,'Customer Sector'!$L$53),BB100,0)</f>
        <v>0</v>
      </c>
      <c r="BD100" s="365">
        <f>IF(BD$15-$AU$15&lt;IF('Customer Sector'!$L$52,'Customer Sector'!$L$29,'Customer Sector'!$L$53),BC100,0)</f>
        <v>0</v>
      </c>
      <c r="BE100" s="365">
        <f>IF(BE$15-$AU$15&lt;IF('Customer Sector'!$L$52,'Customer Sector'!$L$29,'Customer Sector'!$L$53),BD100,0)</f>
        <v>0</v>
      </c>
      <c r="BF100" s="365">
        <f>IF(BF$15-$AU$15&lt;IF('Customer Sector'!$L$52,'Customer Sector'!$L$29,'Customer Sector'!$L$53),BE100,0)</f>
        <v>0</v>
      </c>
      <c r="BG100" s="365">
        <f>IF(BG$15-$AU$15&lt;IF('Customer Sector'!$L$52,'Customer Sector'!$L$29,'Customer Sector'!$L$53),BF100,0)</f>
        <v>0</v>
      </c>
      <c r="BH100" s="365">
        <f>IF(BH$15-$AU$15&lt;IF('Customer Sector'!$L$52,'Customer Sector'!$L$29,'Customer Sector'!$L$53),BG100,0)</f>
        <v>0</v>
      </c>
      <c r="BI100" s="365">
        <f>IF(BI$15-$AU$15&lt;IF('Customer Sector'!$L$52,'Customer Sector'!$L$29,'Customer Sector'!$L$53),BH100,0)</f>
        <v>0</v>
      </c>
      <c r="BJ100" s="365">
        <f>IF(BJ$15-$AU$15&lt;IF('Customer Sector'!$L$52,'Customer Sector'!$L$29,'Customer Sector'!$L$53),BI100,0)</f>
        <v>0</v>
      </c>
      <c r="BK100" s="365">
        <f>IF(BK$15-$AU$15&lt;IF('Customer Sector'!$L$52,'Customer Sector'!$L$29,'Customer Sector'!$L$53),BJ100,0)</f>
        <v>0</v>
      </c>
      <c r="BL100" s="366">
        <f>IF(BL$15-$AU$15&lt;IF('Customer Sector'!$L$52,'Customer Sector'!$L$29,'Customer Sector'!$L$53),BK100,0)</f>
        <v>0</v>
      </c>
    </row>
    <row r="101" spans="2:64" hidden="1" outlineLevel="1" x14ac:dyDescent="0.25">
      <c r="B101" s="370"/>
      <c r="C101" s="367" t="s">
        <v>390</v>
      </c>
      <c r="D101" s="367"/>
      <c r="E101" s="368"/>
      <c r="F101" s="369" t="s">
        <v>19</v>
      </c>
      <c r="G101" s="365">
        <v>0</v>
      </c>
      <c r="H101" s="365">
        <v>0</v>
      </c>
      <c r="I101" s="365">
        <v>0</v>
      </c>
      <c r="J101" s="365">
        <v>0</v>
      </c>
      <c r="K101" s="365">
        <v>0</v>
      </c>
      <c r="L101" s="365">
        <v>0</v>
      </c>
      <c r="M101" s="365">
        <v>0</v>
      </c>
      <c r="N101" s="365">
        <v>0</v>
      </c>
      <c r="O101" s="365">
        <v>0</v>
      </c>
      <c r="P101" s="365">
        <f>PMT('Utility Sector'!$E$18,IF('Customer Sector'!$F$52,'Customer Sector'!$F$29,'Customer Sector'!$F$53),-(P$7+P8))/P$58</f>
        <v>3.3077935790311433E-4</v>
      </c>
      <c r="Q101" s="365">
        <f>IF(Q$15-$P$15&lt;IF('Customer Sector'!$F$52,'Customer Sector'!$F$29,'Customer Sector'!$F$53),P101,0)</f>
        <v>3.3077935790311433E-4</v>
      </c>
      <c r="R101" s="365">
        <f>IF(R$15-$P$15&lt;IF('Customer Sector'!$F$52,'Customer Sector'!$F$29,'Customer Sector'!$F$53),Q101,0)</f>
        <v>3.3077935790311433E-4</v>
      </c>
      <c r="S101" s="365">
        <f>IF(S$15-$P$15&lt;IF('Customer Sector'!$F$52,'Customer Sector'!$F$29,'Customer Sector'!$F$53),R101,0)</f>
        <v>0</v>
      </c>
      <c r="T101" s="365">
        <f>IF(T$15-$P$15&lt;IF('Customer Sector'!$F$52,'Customer Sector'!$F$29,'Customer Sector'!$F$53),S101,0)</f>
        <v>0</v>
      </c>
      <c r="U101" s="365">
        <f>IF(U$15-$P$15&lt;IF('Customer Sector'!$F$52,'Customer Sector'!$F$29,'Customer Sector'!$F$53),T101,0)</f>
        <v>0</v>
      </c>
      <c r="V101" s="365">
        <f>IF(V$15-$P$15&lt;IF('Customer Sector'!$F$52,'Customer Sector'!$F$29,'Customer Sector'!$F$53),U101,0)</f>
        <v>0</v>
      </c>
      <c r="W101" s="365">
        <f>IF(W$15-$P$15&lt;IF('Customer Sector'!$F$52,'Customer Sector'!$F$29,'Customer Sector'!$F$53),V101,0)</f>
        <v>0</v>
      </c>
      <c r="X101" s="365">
        <f>IF(X$15-$P$15&lt;IF('Customer Sector'!$F$52,'Customer Sector'!$F$29,'Customer Sector'!$F$53),W101,0)</f>
        <v>0</v>
      </c>
      <c r="Y101" s="365">
        <f>IF(Y$15-$P$15&lt;IF('Customer Sector'!$F$52,'Customer Sector'!$F$29,'Customer Sector'!$F$53),X101,0)</f>
        <v>0</v>
      </c>
      <c r="Z101" s="365">
        <f>IF(Z$15-$P$15&lt;IF('Customer Sector'!$F$52,'Customer Sector'!$F$29,'Customer Sector'!$F$53),Y101,0)</f>
        <v>0</v>
      </c>
      <c r="AA101" s="365">
        <f>IF(AA$15-$P$15&lt;IF('Customer Sector'!$F$52,'Customer Sector'!$F$29,'Customer Sector'!$F$53),Z101,0)</f>
        <v>0</v>
      </c>
      <c r="AB101" s="365">
        <f>IF(AB$15-$P$15&lt;IF('Customer Sector'!$F$52,'Customer Sector'!$F$29,'Customer Sector'!$F$53),AA101,0)</f>
        <v>0</v>
      </c>
      <c r="AC101" s="365">
        <f>IF(AC$15-$P$15&lt;IF('Customer Sector'!$F$52,'Customer Sector'!$F$29,'Customer Sector'!$F$53),AB101,0)</f>
        <v>0</v>
      </c>
      <c r="AD101" s="365">
        <f>IF(AD$15-$P$15&lt;IF('Customer Sector'!$F$52,'Customer Sector'!$F$29,'Customer Sector'!$F$53),AC101,0)</f>
        <v>0</v>
      </c>
      <c r="AE101" s="365">
        <f>IF(AE$15-$P$15&lt;IF('Customer Sector'!$F$52,'Customer Sector'!$F$29,'Customer Sector'!$F$53),AD101,0)</f>
        <v>0</v>
      </c>
      <c r="AF101" s="366">
        <f>IF(AF$15-$P$15&lt;IF('Customer Sector'!$F$52,'Customer Sector'!$F$29,'Customer Sector'!$F$53),AE101,0)</f>
        <v>0</v>
      </c>
      <c r="AH101" s="370"/>
      <c r="AI101" s="367" t="s">
        <v>390</v>
      </c>
      <c r="AJ101" s="367"/>
      <c r="AK101" s="368"/>
      <c r="AL101" s="369" t="s">
        <v>19</v>
      </c>
      <c r="AM101" s="365">
        <v>0</v>
      </c>
      <c r="AN101" s="365">
        <v>0</v>
      </c>
      <c r="AO101" s="365">
        <v>0</v>
      </c>
      <c r="AP101" s="365">
        <v>0</v>
      </c>
      <c r="AQ101" s="365">
        <v>0</v>
      </c>
      <c r="AR101" s="365">
        <v>0</v>
      </c>
      <c r="AS101" s="365">
        <v>0</v>
      </c>
      <c r="AT101" s="365">
        <v>0</v>
      </c>
      <c r="AU101" s="365">
        <v>0</v>
      </c>
      <c r="AV101" s="365">
        <f>(AV7/IF('Customer Sector'!$L$52,'Customer Sector'!$L$29,'Customer Sector'!$L$53))/AV58</f>
        <v>9.7876502853028676E-5</v>
      </c>
      <c r="AW101" s="365">
        <f>IF(AW$15-$AV$15&lt;IF('Customer Sector'!$L$52,'Customer Sector'!$L$29,'Customer Sector'!$L$53),AV101,0)</f>
        <v>9.7876502853028676E-5</v>
      </c>
      <c r="AX101" s="365">
        <f>IF(AX$15-$AV$15&lt;IF('Customer Sector'!$L$52,'Customer Sector'!$L$29,'Customer Sector'!$L$53),AW101,0)</f>
        <v>9.7876502853028676E-5</v>
      </c>
      <c r="AY101" s="365">
        <f>IF(AY$15-$AV$15&lt;IF('Customer Sector'!$L$52,'Customer Sector'!$L$29,'Customer Sector'!$L$53),AX101,0)</f>
        <v>0</v>
      </c>
      <c r="AZ101" s="365">
        <f>IF(AZ$15-$AV$15&lt;IF('Customer Sector'!$L$52,'Customer Sector'!$L$29,'Customer Sector'!$L$53),AY101,0)</f>
        <v>0</v>
      </c>
      <c r="BA101" s="365">
        <f>IF(BA$15-$AV$15&lt;IF('Customer Sector'!$L$52,'Customer Sector'!$L$29,'Customer Sector'!$L$53),AZ101,0)</f>
        <v>0</v>
      </c>
      <c r="BB101" s="365">
        <f>IF(BB$15-$AV$15&lt;IF('Customer Sector'!$L$52,'Customer Sector'!$L$29,'Customer Sector'!$L$53),BA101,0)</f>
        <v>0</v>
      </c>
      <c r="BC101" s="365">
        <f>IF(BC$15-$AV$15&lt;IF('Customer Sector'!$L$52,'Customer Sector'!$L$29,'Customer Sector'!$L$53),BB101,0)</f>
        <v>0</v>
      </c>
      <c r="BD101" s="365">
        <f>IF(BD$15-$AV$15&lt;IF('Customer Sector'!$L$52,'Customer Sector'!$L$29,'Customer Sector'!$L$53),BC101,0)</f>
        <v>0</v>
      </c>
      <c r="BE101" s="365">
        <f>IF(BE$15-$AV$15&lt;IF('Customer Sector'!$L$52,'Customer Sector'!$L$29,'Customer Sector'!$L$53),BD101,0)</f>
        <v>0</v>
      </c>
      <c r="BF101" s="365">
        <f>IF(BF$15-$AV$15&lt;IF('Customer Sector'!$L$52,'Customer Sector'!$L$29,'Customer Sector'!$L$53),BE101,0)</f>
        <v>0</v>
      </c>
      <c r="BG101" s="365">
        <f>IF(BG$15-$AV$15&lt;IF('Customer Sector'!$L$52,'Customer Sector'!$L$29,'Customer Sector'!$L$53),BF101,0)</f>
        <v>0</v>
      </c>
      <c r="BH101" s="365">
        <f>IF(BH$15-$AV$15&lt;IF('Customer Sector'!$L$52,'Customer Sector'!$L$29,'Customer Sector'!$L$53),BG101,0)</f>
        <v>0</v>
      </c>
      <c r="BI101" s="365">
        <f>IF(BI$15-$AV$15&lt;IF('Customer Sector'!$L$52,'Customer Sector'!$L$29,'Customer Sector'!$L$53),BH101,0)</f>
        <v>0</v>
      </c>
      <c r="BJ101" s="365">
        <f>IF(BJ$15-$AV$15&lt;IF('Customer Sector'!$L$52,'Customer Sector'!$L$29,'Customer Sector'!$L$53),BI101,0)</f>
        <v>0</v>
      </c>
      <c r="BK101" s="365">
        <f>IF(BK$15-$AV$15&lt;IF('Customer Sector'!$L$52,'Customer Sector'!$L$29,'Customer Sector'!$L$53),BJ101,0)</f>
        <v>0</v>
      </c>
      <c r="BL101" s="366">
        <f>IF(BL$15-$AV$15&lt;IF('Customer Sector'!$L$52,'Customer Sector'!$L$29,'Customer Sector'!$L$53),BK101,0)</f>
        <v>0</v>
      </c>
    </row>
    <row r="102" spans="2:64" hidden="1" outlineLevel="1" x14ac:dyDescent="0.25">
      <c r="B102" s="371"/>
      <c r="C102" s="372" t="s">
        <v>391</v>
      </c>
      <c r="D102" s="372"/>
      <c r="E102" s="373"/>
      <c r="F102" s="374" t="s">
        <v>19</v>
      </c>
      <c r="G102" s="375">
        <v>0</v>
      </c>
      <c r="H102" s="375">
        <v>0</v>
      </c>
      <c r="I102" s="375">
        <v>0</v>
      </c>
      <c r="J102" s="375">
        <v>0</v>
      </c>
      <c r="K102" s="375">
        <v>0</v>
      </c>
      <c r="L102" s="375">
        <v>0</v>
      </c>
      <c r="M102" s="375">
        <v>0</v>
      </c>
      <c r="N102" s="375">
        <v>0</v>
      </c>
      <c r="O102" s="375">
        <v>0</v>
      </c>
      <c r="P102" s="375">
        <v>0</v>
      </c>
      <c r="Q102" s="365">
        <f>PMT('Utility Sector'!$E$18,IF('Customer Sector'!$F$52,'Customer Sector'!$F$29,'Customer Sector'!$F$53),-(Q$7+Q8))/Q$58</f>
        <v>3.3683700840936895E-4</v>
      </c>
      <c r="R102" s="365">
        <f>IF(R$15-$Q$15&lt;IF('Customer Sector'!$F$52,'Customer Sector'!$F$29,'Customer Sector'!$F$53),Q102,0)</f>
        <v>3.3683700840936895E-4</v>
      </c>
      <c r="S102" s="365">
        <f>IF(S$15-$Q$15&lt;IF('Customer Sector'!$F$52,'Customer Sector'!$F$29,'Customer Sector'!$F$53),R102,0)</f>
        <v>3.3683700840936895E-4</v>
      </c>
      <c r="T102" s="365">
        <f>IF(T$15-$Q$15&lt;IF('Customer Sector'!$F$52,'Customer Sector'!$F$29,'Customer Sector'!$F$53),S102,0)</f>
        <v>0</v>
      </c>
      <c r="U102" s="365">
        <f>IF(U$15-$Q$15&lt;IF('Customer Sector'!$F$52,'Customer Sector'!$F$29,'Customer Sector'!$F$53),T102,0)</f>
        <v>0</v>
      </c>
      <c r="V102" s="365">
        <f>IF(V$15-$Q$15&lt;IF('Customer Sector'!$F$52,'Customer Sector'!$F$29,'Customer Sector'!$F$53),U102,0)</f>
        <v>0</v>
      </c>
      <c r="W102" s="365">
        <f>IF(W$15-$Q$15&lt;IF('Customer Sector'!$F$52,'Customer Sector'!$F$29,'Customer Sector'!$F$53),V102,0)</f>
        <v>0</v>
      </c>
      <c r="X102" s="365">
        <f>IF(X$15-$Q$15&lt;IF('Customer Sector'!$F$52,'Customer Sector'!$F$29,'Customer Sector'!$F$53),W102,0)</f>
        <v>0</v>
      </c>
      <c r="Y102" s="365">
        <f>IF(Y$15-$Q$15&lt;IF('Customer Sector'!$F$52,'Customer Sector'!$F$29,'Customer Sector'!$F$53),X102,0)</f>
        <v>0</v>
      </c>
      <c r="Z102" s="365">
        <f>IF(Z$15-$Q$15&lt;IF('Customer Sector'!$F$52,'Customer Sector'!$F$29,'Customer Sector'!$F$53),Y102,0)</f>
        <v>0</v>
      </c>
      <c r="AA102" s="365">
        <f>IF(AA$15-$Q$15&lt;IF('Customer Sector'!$F$52,'Customer Sector'!$F$29,'Customer Sector'!$F$53),Z102,0)</f>
        <v>0</v>
      </c>
      <c r="AB102" s="365">
        <f>IF(AB$15-$Q$15&lt;IF('Customer Sector'!$F$52,'Customer Sector'!$F$29,'Customer Sector'!$F$53),AA102,0)</f>
        <v>0</v>
      </c>
      <c r="AC102" s="365">
        <f>IF(AC$15-$Q$15&lt;IF('Customer Sector'!$F$52,'Customer Sector'!$F$29,'Customer Sector'!$F$53),AB102,0)</f>
        <v>0</v>
      </c>
      <c r="AD102" s="365">
        <f>IF(AD$15-$Q$15&lt;IF('Customer Sector'!$F$52,'Customer Sector'!$F$29,'Customer Sector'!$F$53),AC102,0)</f>
        <v>0</v>
      </c>
      <c r="AE102" s="365">
        <f>IF(AE$15-$Q$15&lt;IF('Customer Sector'!$F$52,'Customer Sector'!$F$29,'Customer Sector'!$F$53),AD102,0)</f>
        <v>0</v>
      </c>
      <c r="AF102" s="376">
        <f>IF(AF$15-$Q$15&lt;IF('Customer Sector'!$F$52,'Customer Sector'!$F$29,'Customer Sector'!$F$53),AE102,0)</f>
        <v>0</v>
      </c>
      <c r="AH102" s="371"/>
      <c r="AI102" s="372" t="s">
        <v>391</v>
      </c>
      <c r="AJ102" s="372"/>
      <c r="AK102" s="373"/>
      <c r="AL102" s="374" t="s">
        <v>19</v>
      </c>
      <c r="AM102" s="375">
        <v>0</v>
      </c>
      <c r="AN102" s="375">
        <v>0</v>
      </c>
      <c r="AO102" s="375">
        <v>0</v>
      </c>
      <c r="AP102" s="375">
        <v>0</v>
      </c>
      <c r="AQ102" s="375">
        <v>0</v>
      </c>
      <c r="AR102" s="375">
        <v>0</v>
      </c>
      <c r="AS102" s="375">
        <v>0</v>
      </c>
      <c r="AT102" s="375">
        <v>0</v>
      </c>
      <c r="AU102" s="375">
        <v>0</v>
      </c>
      <c r="AV102" s="375">
        <v>0</v>
      </c>
      <c r="AW102" s="375">
        <f>(AW7/IF('Customer Sector'!$L$52,'Customer Sector'!$L$29,'Customer Sector'!$L$53))/AW58</f>
        <v>1.0029245055455921E-4</v>
      </c>
      <c r="AX102" s="375">
        <f>IF(AX$15-$AW$15&lt;IF('Customer Sector'!$L$52,'Customer Sector'!$L$29,'Customer Sector'!$L$53),AW102,0)</f>
        <v>1.0029245055455921E-4</v>
      </c>
      <c r="AY102" s="375">
        <f>IF(AY$15-$AW$15&lt;IF('Customer Sector'!$L$52,'Customer Sector'!$L$29,'Customer Sector'!$L$53),AX102,0)</f>
        <v>1.0029245055455921E-4</v>
      </c>
      <c r="AZ102" s="375">
        <f>IF(AZ$15-$AW$15&lt;IF('Customer Sector'!$L$52,'Customer Sector'!$L$29,'Customer Sector'!$L$53),AY102,0)</f>
        <v>0</v>
      </c>
      <c r="BA102" s="375">
        <f>IF(BA$15-$AW$15&lt;IF('Customer Sector'!$L$52,'Customer Sector'!$L$29,'Customer Sector'!$L$53),AZ102,0)</f>
        <v>0</v>
      </c>
      <c r="BB102" s="375">
        <f>IF(BB$15-$AW$15&lt;IF('Customer Sector'!$L$52,'Customer Sector'!$L$29,'Customer Sector'!$L$53),BA102,0)</f>
        <v>0</v>
      </c>
      <c r="BC102" s="375">
        <f>IF(BC$15-$AW$15&lt;IF('Customer Sector'!$L$52,'Customer Sector'!$L$29,'Customer Sector'!$L$53),BB102,0)</f>
        <v>0</v>
      </c>
      <c r="BD102" s="375">
        <f>IF(BD$15-$AW$15&lt;IF('Customer Sector'!$L$52,'Customer Sector'!$L$29,'Customer Sector'!$L$53),BC102,0)</f>
        <v>0</v>
      </c>
      <c r="BE102" s="375">
        <f>IF(BE$15-$AW$15&lt;IF('Customer Sector'!$L$52,'Customer Sector'!$L$29,'Customer Sector'!$L$53),BD102,0)</f>
        <v>0</v>
      </c>
      <c r="BF102" s="375">
        <f>IF(BF$15-$AW$15&lt;IF('Customer Sector'!$L$52,'Customer Sector'!$L$29,'Customer Sector'!$L$53),BE102,0)</f>
        <v>0</v>
      </c>
      <c r="BG102" s="375">
        <f>IF(BG$15-$AW$15&lt;IF('Customer Sector'!$L$52,'Customer Sector'!$L$29,'Customer Sector'!$L$53),BF102,0)</f>
        <v>0</v>
      </c>
      <c r="BH102" s="375">
        <f>IF(BH$15-$AW$15&lt;IF('Customer Sector'!$L$52,'Customer Sector'!$L$29,'Customer Sector'!$L$53),BG102,0)</f>
        <v>0</v>
      </c>
      <c r="BI102" s="375">
        <f>IF(BI$15-$AW$15&lt;IF('Customer Sector'!$L$52,'Customer Sector'!$L$29,'Customer Sector'!$L$53),BH102,0)</f>
        <v>0</v>
      </c>
      <c r="BJ102" s="375">
        <f>IF(BJ$15-$AW$15&lt;IF('Customer Sector'!$L$52,'Customer Sector'!$L$29,'Customer Sector'!$L$53),BI102,0)</f>
        <v>0</v>
      </c>
      <c r="BK102" s="375">
        <f>IF(BK$15-$AW$15&lt;IF('Customer Sector'!$L$52,'Customer Sector'!$L$29,'Customer Sector'!$L$53),BJ102,0)</f>
        <v>0</v>
      </c>
      <c r="BL102" s="376">
        <f>IF(BL$15-$AW$15&lt;IF('Customer Sector'!$L$52,'Customer Sector'!$L$29,'Customer Sector'!$L$53),BK102,0)</f>
        <v>0</v>
      </c>
    </row>
    <row r="103" spans="2:64" collapsed="1" x14ac:dyDescent="0.25">
      <c r="B103" s="742" t="s">
        <v>378</v>
      </c>
      <c r="C103" s="743"/>
      <c r="D103" s="743"/>
      <c r="E103" s="743"/>
      <c r="F103" s="743"/>
      <c r="G103" s="743"/>
      <c r="H103" s="743"/>
      <c r="I103" s="743"/>
      <c r="J103" s="743"/>
      <c r="K103" s="743"/>
      <c r="L103" s="743"/>
      <c r="M103" s="355"/>
      <c r="N103" s="355"/>
      <c r="O103" s="355"/>
      <c r="P103" s="355"/>
      <c r="Q103" s="356"/>
      <c r="R103" s="362"/>
      <c r="S103" s="363"/>
      <c r="T103" s="363"/>
      <c r="U103" s="363"/>
      <c r="V103" s="363"/>
      <c r="W103" s="363"/>
      <c r="X103" s="363"/>
      <c r="Y103" s="363"/>
      <c r="Z103" s="363"/>
      <c r="AA103" s="363"/>
      <c r="AB103" s="363"/>
      <c r="AC103" s="363"/>
      <c r="AD103" s="363"/>
      <c r="AE103" s="363"/>
      <c r="AF103" s="363"/>
      <c r="AH103" s="742" t="s">
        <v>378</v>
      </c>
      <c r="AI103" s="743"/>
      <c r="AJ103" s="743"/>
      <c r="AK103" s="743"/>
      <c r="AL103" s="743"/>
      <c r="AM103" s="743"/>
      <c r="AN103" s="743"/>
      <c r="AO103" s="743"/>
      <c r="AP103" s="743"/>
      <c r="AQ103" s="743"/>
      <c r="AR103" s="743"/>
      <c r="AS103" s="355"/>
      <c r="AT103" s="355"/>
      <c r="AU103" s="355"/>
      <c r="AV103" s="355"/>
      <c r="AW103" s="356"/>
      <c r="AX103" s="362"/>
      <c r="AY103" s="363"/>
      <c r="AZ103" s="363"/>
      <c r="BA103" s="363"/>
      <c r="BB103" s="363"/>
      <c r="BC103" s="363"/>
      <c r="BD103" s="363"/>
      <c r="BE103" s="363"/>
      <c r="BF103" s="363"/>
      <c r="BG103" s="363"/>
      <c r="BH103" s="363"/>
      <c r="BI103" s="363"/>
      <c r="BJ103" s="363"/>
      <c r="BK103" s="363"/>
      <c r="BL103" s="363"/>
    </row>
    <row r="104" spans="2:64" x14ac:dyDescent="0.25">
      <c r="B104" s="31" t="s">
        <v>379</v>
      </c>
      <c r="C104" s="359"/>
      <c r="D104" s="359"/>
      <c r="E104" s="360"/>
      <c r="F104" s="361" t="s">
        <v>8</v>
      </c>
      <c r="G104" s="355">
        <f>(G59*G20)/G58</f>
        <v>0</v>
      </c>
      <c r="H104" s="355">
        <f>(H59*H20)/H58</f>
        <v>1.8450257304749131E-4</v>
      </c>
      <c r="I104" s="355">
        <f t="shared" ref="I104:AF104" si="77">(I59*I20)/I58</f>
        <v>3.7135665514529179E-4</v>
      </c>
      <c r="J104" s="355">
        <f t="shared" si="77"/>
        <v>5.6098899654877048E-4</v>
      </c>
      <c r="K104" s="355">
        <f t="shared" si="77"/>
        <v>7.5385148173124435E-4</v>
      </c>
      <c r="L104" s="355">
        <f t="shared" si="77"/>
        <v>9.5042275569002599E-4</v>
      </c>
      <c r="M104" s="355">
        <f t="shared" si="77"/>
        <v>1.1512099488894159E-3</v>
      </c>
      <c r="N104" s="355">
        <f t="shared" si="77"/>
        <v>1.356750506664176E-3</v>
      </c>
      <c r="O104" s="355">
        <f t="shared" si="77"/>
        <v>1.5676141292365214E-3</v>
      </c>
      <c r="P104" s="355">
        <f t="shared" si="77"/>
        <v>1.7844048288480048E-3</v>
      </c>
      <c r="Q104" s="355">
        <f t="shared" si="77"/>
        <v>2.0077631108740123E-3</v>
      </c>
      <c r="R104" s="355">
        <f t="shared" si="77"/>
        <v>2.0354674615416096E-3</v>
      </c>
      <c r="S104" s="355">
        <f t="shared" si="77"/>
        <v>2.0653170930980472E-3</v>
      </c>
      <c r="T104" s="355">
        <f t="shared" si="77"/>
        <v>2.0974130897103453E-3</v>
      </c>
      <c r="U104" s="355">
        <f t="shared" si="77"/>
        <v>2.1318617808739459E-3</v>
      </c>
      <c r="V104" s="355">
        <f t="shared" si="77"/>
        <v>2.1687750094481475E-3</v>
      </c>
      <c r="W104" s="355">
        <f t="shared" si="77"/>
        <v>2.2082704133418009E-3</v>
      </c>
      <c r="X104" s="355">
        <f t="shared" si="77"/>
        <v>2.2504717215363116E-3</v>
      </c>
      <c r="Y104" s="355">
        <f t="shared" si="77"/>
        <v>2.295509065167962E-3</v>
      </c>
      <c r="Z104" s="355">
        <f t="shared" si="77"/>
        <v>2.3435193044289387E-3</v>
      </c>
      <c r="AA104" s="355">
        <f t="shared" si="77"/>
        <v>2.3946463720854127E-3</v>
      </c>
      <c r="AB104" s="355">
        <f t="shared" si="77"/>
        <v>2.4490416344524844E-3</v>
      </c>
      <c r="AC104" s="355">
        <f t="shared" si="77"/>
        <v>2.5068642707091688E-3</v>
      </c>
      <c r="AD104" s="355">
        <f t="shared" si="77"/>
        <v>2.5682816714825839E-3</v>
      </c>
      <c r="AE104" s="355">
        <f t="shared" si="77"/>
        <v>2.6334698576786909E-3</v>
      </c>
      <c r="AF104" s="355">
        <f t="shared" si="77"/>
        <v>2.7026139205876074E-3</v>
      </c>
      <c r="AH104" s="31" t="s">
        <v>379</v>
      </c>
      <c r="AI104" s="359"/>
      <c r="AJ104" s="359"/>
      <c r="AK104" s="360"/>
      <c r="AL104" s="361" t="s">
        <v>8</v>
      </c>
      <c r="AM104" s="355">
        <f>(AM59*AM20)/AM58</f>
        <v>0</v>
      </c>
      <c r="AN104" s="355">
        <f>(AN59*AN20)/AN58</f>
        <v>1.0122192235390068E-4</v>
      </c>
      <c r="AO104" s="355">
        <f t="shared" ref="AO104:BL104" si="78">(AO59*AO20)/AO58</f>
        <v>2.1082523426185843E-4</v>
      </c>
      <c r="AP104" s="355">
        <f t="shared" si="78"/>
        <v>3.2973665931638048E-4</v>
      </c>
      <c r="AQ104" s="355">
        <f t="shared" si="78"/>
        <v>4.5899725713554603E-4</v>
      </c>
      <c r="AR104" s="355">
        <f t="shared" si="78"/>
        <v>5.9977807990769475E-4</v>
      </c>
      <c r="AS104" s="355">
        <f t="shared" si="78"/>
        <v>7.5339822168796438E-4</v>
      </c>
      <c r="AT104" s="355">
        <f t="shared" si="78"/>
        <v>9.2134567392461474E-4</v>
      </c>
      <c r="AU104" s="355">
        <f t="shared" si="78"/>
        <v>1.1053014821985415E-3</v>
      </c>
      <c r="AV104" s="355">
        <f t="shared" si="78"/>
        <v>1.3071677990093937E-3</v>
      </c>
      <c r="AW104" s="355">
        <f t="shared" si="78"/>
        <v>1.5291005503282721E-3</v>
      </c>
      <c r="AX104" s="355">
        <f t="shared" si="78"/>
        <v>1.5538698618120825E-3</v>
      </c>
      <c r="AY104" s="355">
        <f t="shared" si="78"/>
        <v>1.5803862702466007E-3</v>
      </c>
      <c r="AZ104" s="355">
        <f t="shared" si="78"/>
        <v>1.6087391414052086E-3</v>
      </c>
      <c r="BA104" s="355">
        <f t="shared" si="78"/>
        <v>1.6390226441811442E-3</v>
      </c>
      <c r="BB104" s="355">
        <f t="shared" si="78"/>
        <v>1.6713360077774417E-3</v>
      </c>
      <c r="BC104" s="355">
        <f t="shared" si="78"/>
        <v>1.7057837926247703E-3</v>
      </c>
      <c r="BD104" s="355">
        <f t="shared" si="78"/>
        <v>1.742476175754195E-3</v>
      </c>
      <c r="BE104" s="355">
        <f t="shared" si="78"/>
        <v>1.7815292513907004E-3</v>
      </c>
      <c r="BF104" s="355">
        <f t="shared" si="78"/>
        <v>1.8230653475742949E-3</v>
      </c>
      <c r="BG104" s="355">
        <f t="shared" si="78"/>
        <v>1.8672133596588276E-3</v>
      </c>
      <c r="BH104" s="355">
        <f t="shared" si="78"/>
        <v>1.914109101584359E-3</v>
      </c>
      <c r="BI104" s="355">
        <f t="shared" si="78"/>
        <v>1.9638956758669924E-3</v>
      </c>
      <c r="BJ104" s="355">
        <f t="shared" si="78"/>
        <v>2.0167238633010979E-3</v>
      </c>
      <c r="BK104" s="355">
        <f t="shared" si="78"/>
        <v>2.0727525334223386E-3</v>
      </c>
      <c r="BL104" s="355">
        <f t="shared" si="78"/>
        <v>2.13214907683654E-3</v>
      </c>
    </row>
    <row r="105" spans="2:64" x14ac:dyDescent="0.25">
      <c r="B105" s="4" t="s">
        <v>393</v>
      </c>
      <c r="C105" s="367"/>
      <c r="D105" s="367"/>
      <c r="E105" s="368"/>
      <c r="F105" s="369" t="s">
        <v>19</v>
      </c>
      <c r="G105" s="365">
        <f>(G108*G189)/G58</f>
        <v>1.6691378564184361E-4</v>
      </c>
      <c r="H105" s="365">
        <f>(H108*H189)/H58</f>
        <v>3.2885781647213952E-4</v>
      </c>
      <c r="I105" s="365">
        <f t="shared" ref="I105:L105" si="79">(I108*I189)/I58</f>
        <v>5.0935505990599625E-4</v>
      </c>
      <c r="J105" s="365">
        <f t="shared" si="79"/>
        <v>6.917589594505045E-4</v>
      </c>
      <c r="K105" s="365">
        <f t="shared" si="79"/>
        <v>8.7646169237949286E-4</v>
      </c>
      <c r="L105" s="365">
        <f t="shared" si="79"/>
        <v>1.0638767803503348E-3</v>
      </c>
      <c r="M105" s="365">
        <f t="shared" ref="M105:AF105" si="80">(M108*M189)/M58</f>
        <v>1.2544403574438355E-3</v>
      </c>
      <c r="N105" s="365">
        <f t="shared" si="80"/>
        <v>1.4486125094703164E-3</v>
      </c>
      <c r="O105" s="365">
        <f t="shared" si="80"/>
        <v>1.6468786888408813E-3</v>
      </c>
      <c r="P105" s="365">
        <f t="shared" si="80"/>
        <v>1.8497512095737396E-3</v>
      </c>
      <c r="Q105" s="365">
        <f t="shared" si="80"/>
        <v>2.0577708272907398E-3</v>
      </c>
      <c r="R105" s="365">
        <f t="shared" si="80"/>
        <v>2.0685360238861293E-3</v>
      </c>
      <c r="S105" s="365">
        <f t="shared" si="80"/>
        <v>2.0798798629869334E-3</v>
      </c>
      <c r="T105" s="365">
        <f t="shared" si="80"/>
        <v>2.0917863442670272E-3</v>
      </c>
      <c r="U105" s="365">
        <f t="shared" si="80"/>
        <v>2.1042349046346727E-3</v>
      </c>
      <c r="V105" s="365">
        <f t="shared" si="80"/>
        <v>2.1171999680304012E-3</v>
      </c>
      <c r="W105" s="365">
        <f t="shared" si="80"/>
        <v>2.1306504651363426E-3</v>
      </c>
      <c r="X105" s="365">
        <f t="shared" si="80"/>
        <v>2.1445493214680587E-3</v>
      </c>
      <c r="Y105" s="365">
        <f t="shared" si="80"/>
        <v>2.1588529122132665E-3</v>
      </c>
      <c r="Z105" s="365">
        <f t="shared" si="80"/>
        <v>2.1735104820623007E-3</v>
      </c>
      <c r="AA105" s="365">
        <f t="shared" si="80"/>
        <v>2.1884635281429502E-3</v>
      </c>
      <c r="AB105" s="365">
        <f t="shared" si="80"/>
        <v>2.2036451440260877E-3</v>
      </c>
      <c r="AC105" s="365">
        <f t="shared" si="80"/>
        <v>2.2189793226077659E-3</v>
      </c>
      <c r="AD105" s="365">
        <f t="shared" si="80"/>
        <v>2.2343802154997541E-3</v>
      </c>
      <c r="AE105" s="365">
        <f t="shared" si="80"/>
        <v>2.2497513463724185E-3</v>
      </c>
      <c r="AF105" s="365">
        <f t="shared" si="80"/>
        <v>2.2649847754902599E-3</v>
      </c>
      <c r="AH105" s="4" t="s">
        <v>393</v>
      </c>
      <c r="AI105" s="367"/>
      <c r="AJ105" s="367"/>
      <c r="AK105" s="368"/>
      <c r="AL105" s="369" t="s">
        <v>19</v>
      </c>
      <c r="AM105" s="365">
        <f>(AM108*AM189)/AM58</f>
        <v>5.6011826682022285E-5</v>
      </c>
      <c r="AN105" s="365">
        <f>(AN108*AN189)/AN58</f>
        <v>1.5200462324090199E-4</v>
      </c>
      <c r="AO105" s="365">
        <f t="shared" ref="AO105:BL105" si="81">(AO108*AO189)/AO58</f>
        <v>2.5984835094811299E-4</v>
      </c>
      <c r="AP105" s="365">
        <f t="shared" si="81"/>
        <v>3.7679074106733771E-4</v>
      </c>
      <c r="AQ105" s="365">
        <f t="shared" si="81"/>
        <v>5.0385361311507777E-4</v>
      </c>
      <c r="AR105" s="365">
        <f t="shared" si="81"/>
        <v>6.4218655366068749E-4</v>
      </c>
      <c r="AS105" s="365">
        <f t="shared" si="81"/>
        <v>7.930846885237931E-4</v>
      </c>
      <c r="AT105" s="365">
        <f t="shared" si="81"/>
        <v>9.5800922229566452E-4</v>
      </c>
      <c r="AU105" s="365">
        <f t="shared" si="81"/>
        <v>1.1386112337080563E-3</v>
      </c>
      <c r="AV105" s="365">
        <f t="shared" si="81"/>
        <v>1.3367593139400268E-3</v>
      </c>
      <c r="AW105" s="365">
        <f t="shared" si="81"/>
        <v>1.5545717562592462E-3</v>
      </c>
      <c r="AX105" s="365">
        <f t="shared" si="81"/>
        <v>1.5746142069858677E-3</v>
      </c>
      <c r="AY105" s="365">
        <f t="shared" si="81"/>
        <v>1.5959836488546287E-3</v>
      </c>
      <c r="AZ105" s="365">
        <f t="shared" si="81"/>
        <v>1.6187355287170934E-3</v>
      </c>
      <c r="BA105" s="365">
        <f t="shared" si="81"/>
        <v>1.6429272187530432E-3</v>
      </c>
      <c r="BB105" s="365">
        <f t="shared" si="81"/>
        <v>1.6686180535574714E-3</v>
      </c>
      <c r="BC105" s="365">
        <f t="shared" si="81"/>
        <v>1.6958693665911017E-3</v>
      </c>
      <c r="BD105" s="365">
        <f t="shared" si="81"/>
        <v>1.7247445259212209E-3</v>
      </c>
      <c r="BE105" s="365">
        <f t="shared" si="81"/>
        <v>1.7553089691679719E-3</v>
      </c>
      <c r="BF105" s="365">
        <f t="shared" si="81"/>
        <v>1.7876302375570419E-3</v>
      </c>
      <c r="BG105" s="365">
        <f t="shared" si="81"/>
        <v>1.821778008962556E-3</v>
      </c>
      <c r="BH105" s="365">
        <f t="shared" si="81"/>
        <v>1.8578241298044796E-3</v>
      </c>
      <c r="BI105" s="365">
        <f t="shared" si="81"/>
        <v>1.8958426456416775E-3</v>
      </c>
      <c r="BJ105" s="365">
        <f t="shared" si="81"/>
        <v>1.9359098302763732E-3</v>
      </c>
      <c r="BK105" s="365">
        <f t="shared" si="81"/>
        <v>1.978104213156986E-3</v>
      </c>
      <c r="BL105" s="365">
        <f t="shared" si="81"/>
        <v>2.0225066048343799E-3</v>
      </c>
    </row>
    <row r="106" spans="2:64" x14ac:dyDescent="0.25">
      <c r="B106" s="4"/>
      <c r="C106" s="400" t="s">
        <v>395</v>
      </c>
      <c r="D106" s="400"/>
      <c r="E106" s="401"/>
      <c r="F106" s="402" t="s">
        <v>394</v>
      </c>
      <c r="G106" s="403">
        <f>'Utility Calc'!G54/G189</f>
        <v>1011.6145585395992</v>
      </c>
      <c r="H106" s="403">
        <f>'Utility Calc'!H54/H189</f>
        <v>1039.4422783716861</v>
      </c>
      <c r="I106" s="403">
        <f>'Utility Calc'!I54/I189</f>
        <v>1050.1709045124928</v>
      </c>
      <c r="J106" s="403">
        <f>'Utility Calc'!J54/J189</f>
        <v>1061.7691258867712</v>
      </c>
      <c r="K106" s="403">
        <f>'Utility Calc'!K54/K189</f>
        <v>1074.2821575916273</v>
      </c>
      <c r="L106" s="403">
        <f>'Utility Calc'!L54/L189</f>
        <v>1087.7576778625325</v>
      </c>
      <c r="M106" s="403">
        <f>'Utility Calc'!M54/M189</f>
        <v>1102.2459616805597</v>
      </c>
      <c r="N106" s="403">
        <f>'Utility Calc'!N54/N189</f>
        <v>1117.8000216265029</v>
      </c>
      <c r="O106" s="403">
        <f>'Utility Calc'!O54/O189</f>
        <v>1134.4757563750304</v>
      </c>
      <c r="P106" s="403">
        <f>'Utility Calc'!P54/P189</f>
        <v>1152.3321072433307</v>
      </c>
      <c r="Q106" s="403">
        <f>'Utility Calc'!Q54/Q189</f>
        <v>1171.4312232311984</v>
      </c>
      <c r="R106" s="403">
        <f>'Utility Calc'!R54/R189</f>
        <v>1191.8386350132121</v>
      </c>
      <c r="S106" s="403">
        <f>'Utility Calc'!S54/S189</f>
        <v>1213.6234383686424</v>
      </c>
      <c r="T106" s="403">
        <f>'Utility Calc'!T54/T189</f>
        <v>1236.8584875610677</v>
      </c>
      <c r="U106" s="403">
        <f>'Utility Calc'!U54/U189</f>
        <v>1261.6205992074642</v>
      </c>
      <c r="V106" s="403">
        <f>'Utility Calc'!V54/V189</f>
        <v>1287.9907672057939</v>
      </c>
      <c r="W106" s="403">
        <f>'Utility Calc'!W54/W189</f>
        <v>1316.0543893209992</v>
      </c>
      <c r="X106" s="403">
        <f>'Utility Calc'!X54/X189</f>
        <v>1345.9015060618494</v>
      </c>
      <c r="Y106" s="403">
        <f>'Utility Calc'!Y54/Y189</f>
        <v>1377.6270525153932</v>
      </c>
      <c r="Z106" s="403">
        <f>'Utility Calc'!Z54/Z189</f>
        <v>1411.3311238419412</v>
      </c>
      <c r="AA106" s="403">
        <f>'Utility Calc'!AA54/AA189</f>
        <v>1447.1192551716249</v>
      </c>
      <c r="AB106" s="403">
        <f>'Utility Calc'!AB54/AB189</f>
        <v>1485.1027166837937</v>
      </c>
      <c r="AC106" s="403">
        <f>'Utility Calc'!AC54/AC189</f>
        <v>1525.3988246928827</v>
      </c>
      <c r="AD106" s="403">
        <f>'Utility Calc'!AD54/AD189</f>
        <v>1568.1312696090474</v>
      </c>
      <c r="AE106" s="403">
        <f>'Utility Calc'!AE54/AE189</f>
        <v>1613.4304616890131</v>
      </c>
      <c r="AF106" s="403">
        <f>'Utility Calc'!AF54/AF189</f>
        <v>1661.4338955421761</v>
      </c>
      <c r="AH106" s="4"/>
      <c r="AI106" s="400" t="s">
        <v>395</v>
      </c>
      <c r="AJ106" s="400"/>
      <c r="AK106" s="401"/>
      <c r="AL106" s="402" t="s">
        <v>394</v>
      </c>
      <c r="AM106" s="403">
        <f>'Utility Calc'!G56/AM189</f>
        <v>4149.019703357927</v>
      </c>
      <c r="AN106" s="403">
        <f>'Utility Calc'!H56/AN189</f>
        <v>4263.1518665501335</v>
      </c>
      <c r="AO106" s="403">
        <f>'Utility Calc'!I56/AO189</f>
        <v>4307.1540814969294</v>
      </c>
      <c r="AP106" s="403">
        <f>'Utility Calc'!J56/AP189</f>
        <v>4354.7228403681529</v>
      </c>
      <c r="AQ106" s="403">
        <f>'Utility Calc'!K56/AQ189</f>
        <v>4406.0435876368938</v>
      </c>
      <c r="AR106" s="403">
        <f>'Utility Calc'!L56/AR189</f>
        <v>4461.311870052381</v>
      </c>
      <c r="AS106" s="403">
        <f>'Utility Calc'!M56/AS189</f>
        <v>4520.733884614544</v>
      </c>
      <c r="AT106" s="403">
        <f>'Utility Calc'!N56/AT189</f>
        <v>4584.5270562708447</v>
      </c>
      <c r="AU106" s="403">
        <f>'Utility Calc'!O56/AU189</f>
        <v>4652.9206469478049</v>
      </c>
      <c r="AV106" s="403">
        <f>'Utility Calc'!P56/AV189</f>
        <v>4726.1563976171137</v>
      </c>
      <c r="AW106" s="403">
        <f>'Utility Calc'!Q56/AW189</f>
        <v>4804.489205188388</v>
      </c>
      <c r="AX106" s="403">
        <f>'Utility Calc'!R56/AX189</f>
        <v>4888.187836117886</v>
      </c>
      <c r="AY106" s="403">
        <f>'Utility Calc'!S56/AY189</f>
        <v>4977.5356787249966</v>
      </c>
      <c r="AZ106" s="403">
        <f>'Utility Calc'!T56/AZ189</f>
        <v>5072.8315363162847</v>
      </c>
      <c r="BA106" s="403">
        <f>'Utility Calc'!U56/BA189</f>
        <v>5174.390463330903</v>
      </c>
      <c r="BB106" s="403">
        <f>'Utility Calc'!V56/BB189</f>
        <v>5282.5446468411492</v>
      </c>
      <c r="BC106" s="403">
        <f>'Utility Calc'!W56/BC189</f>
        <v>5397.6443358686274</v>
      </c>
      <c r="BD106" s="403">
        <f>'Utility Calc'!X56/BD189</f>
        <v>5520.0588211099084</v>
      </c>
      <c r="BE106" s="403">
        <f>'Utility Calc'!Y56/BE189</f>
        <v>5650.1774678063111</v>
      </c>
      <c r="BF106" s="403">
        <f>'Utility Calc'!Z56/BF189</f>
        <v>5788.4108046407518</v>
      </c>
      <c r="BG106" s="403">
        <f>'Utility Calc'!AA56/BG189</f>
        <v>5935.1916717010072</v>
      </c>
      <c r="BH106" s="403">
        <f>'Utility Calc'!AB56/BH189</f>
        <v>6090.9764307136038</v>
      </c>
      <c r="BI106" s="403">
        <f>'Utility Calc'!AC56/BI189</f>
        <v>6256.246240926409</v>
      </c>
      <c r="BJ106" s="403">
        <f>'Utility Calc'!AD56/BJ189</f>
        <v>6431.5084042011031</v>
      </c>
      <c r="BK106" s="403">
        <f>'Utility Calc'!AE56/BK189</f>
        <v>6617.2977830701666</v>
      </c>
      <c r="BL106" s="403">
        <f>'Utility Calc'!AF56/BL189</f>
        <v>6814.1782957163432</v>
      </c>
    </row>
    <row r="107" spans="2:64" x14ac:dyDescent="0.25">
      <c r="B107" s="4"/>
      <c r="C107" s="400" t="s">
        <v>396</v>
      </c>
      <c r="D107" s="400"/>
      <c r="E107" s="401"/>
      <c r="F107" s="402" t="s">
        <v>19</v>
      </c>
      <c r="G107" s="403">
        <f>(G58*G20)/G189</f>
        <v>1009.534247638261</v>
      </c>
      <c r="H107" s="403">
        <f>(H58*H20)/H189</f>
        <v>1035.3373100975307</v>
      </c>
      <c r="I107" s="403">
        <f t="shared" ref="I107:L107" si="82">(I58*I20)/I189</f>
        <v>1043.8030888256253</v>
      </c>
      <c r="J107" s="403">
        <f t="shared" si="82"/>
        <v>1053.1075782164489</v>
      </c>
      <c r="K107" s="403">
        <f t="shared" si="82"/>
        <v>1063.2909068262766</v>
      </c>
      <c r="L107" s="403">
        <f t="shared" si="82"/>
        <v>1074.3953661437206</v>
      </c>
      <c r="M107" s="403">
        <f t="shared" ref="M107:AF107" si="83">(M58*M20)/M189</f>
        <v>1086.4655257239258</v>
      </c>
      <c r="N107" s="403">
        <f t="shared" si="83"/>
        <v>1099.548354484436</v>
      </c>
      <c r="O107" s="403">
        <f t="shared" si="83"/>
        <v>1113.6933484885838</v>
      </c>
      <c r="P107" s="403">
        <f t="shared" si="83"/>
        <v>1128.9526655592135</v>
      </c>
      <c r="Q107" s="403">
        <f t="shared" si="83"/>
        <v>1145.381267083432</v>
      </c>
      <c r="R107" s="403">
        <f t="shared" si="83"/>
        <v>1165.553895951572</v>
      </c>
      <c r="S107" s="403">
        <f t="shared" si="83"/>
        <v>1187.0951382358239</v>
      </c>
      <c r="T107" s="403">
        <f t="shared" si="83"/>
        <v>1210.0779625665505</v>
      </c>
      <c r="U107" s="403">
        <f t="shared" si="83"/>
        <v>1234.5793609843065</v>
      </c>
      <c r="V107" s="403">
        <f t="shared" si="83"/>
        <v>1260.6805708024024</v>
      </c>
      <c r="W107" s="403">
        <f t="shared" si="83"/>
        <v>1288.4673086611617</v>
      </c>
      <c r="X107" s="403">
        <f t="shared" si="83"/>
        <v>1318.0300174382824</v>
      </c>
      <c r="Y107" s="403">
        <f t="shared" si="83"/>
        <v>1349.464126716184</v>
      </c>
      <c r="Z107" s="403">
        <f t="shared" si="83"/>
        <v>1382.8703275457813</v>
      </c>
      <c r="AA107" s="403">
        <f t="shared" si="83"/>
        <v>1418.3548622868686</v>
      </c>
      <c r="AB107" s="403">
        <f t="shared" si="83"/>
        <v>1456.0298303483969</v>
      </c>
      <c r="AC107" s="403">
        <f t="shared" si="83"/>
        <v>1496.013510697444</v>
      </c>
      <c r="AD107" s="403">
        <f t="shared" si="83"/>
        <v>1538.4307020537592</v>
      </c>
      <c r="AE107" s="403">
        <f t="shared" si="83"/>
        <v>1583.4130817376119</v>
      </c>
      <c r="AF107" s="403">
        <f t="shared" si="83"/>
        <v>1631.0995841922736</v>
      </c>
      <c r="AH107" s="4"/>
      <c r="AI107" s="400" t="s">
        <v>396</v>
      </c>
      <c r="AJ107" s="400"/>
      <c r="AK107" s="401"/>
      <c r="AL107" s="402" t="s">
        <v>19</v>
      </c>
      <c r="AM107" s="403">
        <f>(AM58*AM20)/AM189</f>
        <v>4138.8657494792515</v>
      </c>
      <c r="AN107" s="403">
        <f>(AN58*AN20)/AN189</f>
        <v>4235.676607580931</v>
      </c>
      <c r="AO107" s="403">
        <f t="shared" ref="AO107:BL107" si="84">(AO58*AO20)/AO189</f>
        <v>4260.334965175869</v>
      </c>
      <c r="AP107" s="403">
        <f t="shared" si="84"/>
        <v>4287.0673183348554</v>
      </c>
      <c r="AQ107" s="403">
        <f t="shared" si="84"/>
        <v>4315.9111722679045</v>
      </c>
      <c r="AR107" s="403">
        <f t="shared" si="84"/>
        <v>4346.8984449619611</v>
      </c>
      <c r="AS107" s="403">
        <f t="shared" si="84"/>
        <v>4380.0542873320765</v>
      </c>
      <c r="AT107" s="403">
        <f t="shared" si="84"/>
        <v>4415.3957396851865</v>
      </c>
      <c r="AU107" s="403">
        <f t="shared" si="84"/>
        <v>4452.9302043192238</v>
      </c>
      <c r="AV107" s="403">
        <f t="shared" si="84"/>
        <v>4492.6537117098596</v>
      </c>
      <c r="AW107" s="403">
        <f t="shared" si="84"/>
        <v>4534.5489550946704</v>
      </c>
      <c r="AX107" s="403">
        <f t="shared" si="84"/>
        <v>4614.3884343712216</v>
      </c>
      <c r="AY107" s="403">
        <f t="shared" si="84"/>
        <v>4699.6358856400193</v>
      </c>
      <c r="AZ107" s="403">
        <f t="shared" si="84"/>
        <v>4790.5794627154928</v>
      </c>
      <c r="BA107" s="403">
        <f t="shared" si="84"/>
        <v>4887.5231780729509</v>
      </c>
      <c r="BB107" s="403">
        <f t="shared" si="84"/>
        <v>4990.7877753431221</v>
      </c>
      <c r="BC107" s="403">
        <f t="shared" si="84"/>
        <v>5100.7116496696081</v>
      </c>
      <c r="BD107" s="403">
        <f t="shared" si="84"/>
        <v>5217.6518185367668</v>
      </c>
      <c r="BE107" s="403">
        <f t="shared" si="84"/>
        <v>5341.9849458184635</v>
      </c>
      <c r="BF107" s="403">
        <f t="shared" si="84"/>
        <v>5474.1084219491195</v>
      </c>
      <c r="BG107" s="403">
        <f t="shared" si="84"/>
        <v>5614.4415032781035</v>
      </c>
      <c r="BH107" s="403">
        <f t="shared" si="84"/>
        <v>5763.4265138370529</v>
      </c>
      <c r="BI107" s="403">
        <f t="shared" si="84"/>
        <v>5921.5301129279305</v>
      </c>
      <c r="BJ107" s="403">
        <f t="shared" si="84"/>
        <v>6089.2446321275474</v>
      </c>
      <c r="BK107" s="403">
        <f t="shared" si="84"/>
        <v>6267.0894855031938</v>
      </c>
      <c r="BL107" s="403">
        <f t="shared" si="84"/>
        <v>6455.6126570434481</v>
      </c>
    </row>
    <row r="108" spans="2:64" x14ac:dyDescent="0.25">
      <c r="B108" s="4"/>
      <c r="C108" s="400"/>
      <c r="D108" s="401" t="s">
        <v>397</v>
      </c>
      <c r="E108" s="401"/>
      <c r="F108" s="402" t="s">
        <v>19</v>
      </c>
      <c r="G108" s="403">
        <f>G106-G107</f>
        <v>2.08031090133818</v>
      </c>
      <c r="H108" s="403">
        <f>H106-H107</f>
        <v>4.1049682741554534</v>
      </c>
      <c r="I108" s="403">
        <f t="shared" ref="I108:L108" si="85">I106-I107</f>
        <v>6.367815686867516</v>
      </c>
      <c r="J108" s="403">
        <f t="shared" si="85"/>
        <v>8.6615476703223067</v>
      </c>
      <c r="K108" s="403">
        <f t="shared" si="85"/>
        <v>10.991250765350742</v>
      </c>
      <c r="L108" s="403">
        <f t="shared" si="85"/>
        <v>13.362311718811952</v>
      </c>
      <c r="M108" s="403">
        <f t="shared" ref="M108" si="86">M106-M107</f>
        <v>15.780435956633937</v>
      </c>
      <c r="N108" s="403">
        <f t="shared" ref="N108" si="87">N106-N107</f>
        <v>18.251667142066935</v>
      </c>
      <c r="O108" s="403">
        <f t="shared" ref="O108:P108" si="88">O106-O107</f>
        <v>20.782407886446663</v>
      </c>
      <c r="P108" s="403">
        <f t="shared" si="88"/>
        <v>23.379441684117182</v>
      </c>
      <c r="Q108" s="403">
        <f t="shared" ref="Q108" si="89">Q106-Q107</f>
        <v>26.049956147766352</v>
      </c>
      <c r="R108" s="403">
        <f t="shared" ref="R108" si="90">R106-R107</f>
        <v>26.284739061640039</v>
      </c>
      <c r="S108" s="403">
        <f t="shared" ref="S108:T108" si="91">S106-S107</f>
        <v>26.528300132818458</v>
      </c>
      <c r="T108" s="403">
        <f t="shared" si="91"/>
        <v>26.780524994517236</v>
      </c>
      <c r="U108" s="403">
        <f t="shared" ref="U108" si="92">U106-U107</f>
        <v>27.041238223157734</v>
      </c>
      <c r="V108" s="403">
        <f t="shared" ref="V108" si="93">V106-V107</f>
        <v>27.310196403391501</v>
      </c>
      <c r="W108" s="403">
        <f t="shared" ref="W108:X108" si="94">W106-W107</f>
        <v>27.587080659837511</v>
      </c>
      <c r="X108" s="403">
        <f t="shared" si="94"/>
        <v>27.871488623567075</v>
      </c>
      <c r="Y108" s="403">
        <f t="shared" ref="Y108" si="95">Y106-Y107</f>
        <v>28.162925799209233</v>
      </c>
      <c r="Z108" s="403">
        <f t="shared" ref="Z108" si="96">Z106-Z107</f>
        <v>28.46079629615997</v>
      </c>
      <c r="AA108" s="403">
        <f t="shared" ref="AA108:AB108" si="97">AA106-AA107</f>
        <v>28.764392884756262</v>
      </c>
      <c r="AB108" s="403">
        <f t="shared" si="97"/>
        <v>29.072886335396788</v>
      </c>
      <c r="AC108" s="403">
        <f t="shared" ref="AC108" si="98">AC106-AC107</f>
        <v>29.385313995438764</v>
      </c>
      <c r="AD108" s="403">
        <f t="shared" ref="AD108" si="99">AD106-AD107</f>
        <v>29.700567555288217</v>
      </c>
      <c r="AE108" s="403">
        <f t="shared" ref="AE108:AF108" si="100">AE106-AE107</f>
        <v>30.017379951401153</v>
      </c>
      <c r="AF108" s="403">
        <f t="shared" si="100"/>
        <v>30.334311349902464</v>
      </c>
      <c r="AH108" s="4"/>
      <c r="AI108" s="400"/>
      <c r="AJ108" s="401" t="s">
        <v>397</v>
      </c>
      <c r="AK108" s="401"/>
      <c r="AL108" s="402" t="s">
        <v>19</v>
      </c>
      <c r="AM108" s="403">
        <f>AM106-AM107</f>
        <v>10.153953878675566</v>
      </c>
      <c r="AN108" s="403">
        <f>AN106-AN107</f>
        <v>27.475258969202514</v>
      </c>
      <c r="AO108" s="403">
        <f t="shared" ref="AO108:BL108" si="101">AO106-AO107</f>
        <v>46.819116321060392</v>
      </c>
      <c r="AP108" s="403">
        <f t="shared" si="101"/>
        <v>67.65552203329753</v>
      </c>
      <c r="AQ108" s="403">
        <f t="shared" si="101"/>
        <v>90.132415368989314</v>
      </c>
      <c r="AR108" s="403">
        <f t="shared" si="101"/>
        <v>114.41342509041988</v>
      </c>
      <c r="AS108" s="403">
        <f t="shared" si="101"/>
        <v>140.67959728246751</v>
      </c>
      <c r="AT108" s="403">
        <f t="shared" si="101"/>
        <v>169.13131658565817</v>
      </c>
      <c r="AU108" s="403">
        <f t="shared" si="101"/>
        <v>199.99044262858115</v>
      </c>
      <c r="AV108" s="403">
        <f t="shared" si="101"/>
        <v>233.50268590725409</v>
      </c>
      <c r="AW108" s="403">
        <f t="shared" si="101"/>
        <v>269.94025009371762</v>
      </c>
      <c r="AX108" s="403">
        <f t="shared" si="101"/>
        <v>273.79940174666444</v>
      </c>
      <c r="AY108" s="403">
        <f t="shared" si="101"/>
        <v>277.89979308497732</v>
      </c>
      <c r="AZ108" s="403">
        <f t="shared" si="101"/>
        <v>282.25207360079185</v>
      </c>
      <c r="BA108" s="403">
        <f t="shared" si="101"/>
        <v>286.86728525795206</v>
      </c>
      <c r="BB108" s="403">
        <f t="shared" si="101"/>
        <v>291.75687149802707</v>
      </c>
      <c r="BC108" s="403">
        <f t="shared" si="101"/>
        <v>296.93268619901937</v>
      </c>
      <c r="BD108" s="403">
        <f t="shared" si="101"/>
        <v>302.40700257314165</v>
      </c>
      <c r="BE108" s="403">
        <f t="shared" si="101"/>
        <v>308.19252198784761</v>
      </c>
      <c r="BF108" s="403">
        <f t="shared" si="101"/>
        <v>314.30238269163237</v>
      </c>
      <c r="BG108" s="403">
        <f t="shared" si="101"/>
        <v>320.7501684229037</v>
      </c>
      <c r="BH108" s="403">
        <f t="shared" si="101"/>
        <v>327.54991687655092</v>
      </c>
      <c r="BI108" s="403">
        <f t="shared" si="101"/>
        <v>334.71612799847844</v>
      </c>
      <c r="BJ108" s="403">
        <f t="shared" si="101"/>
        <v>342.26377207355563</v>
      </c>
      <c r="BK108" s="403">
        <f t="shared" si="101"/>
        <v>350.20829756697276</v>
      </c>
      <c r="BL108" s="403">
        <f t="shared" si="101"/>
        <v>358.56563867289515</v>
      </c>
    </row>
    <row r="109" spans="2:64" x14ac:dyDescent="0.25">
      <c r="B109" s="10" t="s">
        <v>380</v>
      </c>
      <c r="C109" s="24"/>
      <c r="D109" s="24"/>
      <c r="E109" s="25"/>
      <c r="F109" s="295"/>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c r="AE109" s="354"/>
      <c r="AF109" s="358"/>
      <c r="AH109" s="10" t="s">
        <v>380</v>
      </c>
      <c r="AI109" s="24"/>
      <c r="AJ109" s="24"/>
      <c r="AK109" s="25"/>
      <c r="AL109" s="295" t="s">
        <v>8</v>
      </c>
      <c r="AM109" s="354" t="s">
        <v>392</v>
      </c>
      <c r="AN109" s="354"/>
      <c r="AO109" s="354"/>
      <c r="AP109" s="354"/>
      <c r="AQ109" s="354"/>
      <c r="AR109" s="354"/>
      <c r="AS109" s="357"/>
      <c r="AT109" s="357"/>
      <c r="AU109" s="357"/>
      <c r="AV109" s="357"/>
      <c r="AW109" s="357"/>
      <c r="AX109" s="357"/>
      <c r="AY109" s="357"/>
      <c r="AZ109" s="357"/>
      <c r="BA109" s="357"/>
      <c r="BB109" s="357"/>
      <c r="BC109" s="357"/>
      <c r="BD109" s="357"/>
      <c r="BE109" s="357"/>
      <c r="BF109" s="357"/>
      <c r="BG109" s="357"/>
      <c r="BH109" s="357"/>
      <c r="BI109" s="357"/>
      <c r="BJ109" s="357"/>
      <c r="BK109" s="357"/>
      <c r="BL109" s="358"/>
    </row>
    <row r="110" spans="2:64" x14ac:dyDescent="0.25">
      <c r="B110" s="10"/>
      <c r="C110" s="24" t="s">
        <v>557</v>
      </c>
      <c r="D110" s="24"/>
      <c r="E110" s="25"/>
      <c r="F110" s="295" t="s">
        <v>61</v>
      </c>
      <c r="G110" s="680">
        <f>('Utility Calc'!G54/(G189*12))*'Customer Sector'!$F$60</f>
        <v>84.301213211633268</v>
      </c>
      <c r="H110" s="680">
        <f>('Utility Calc'!H54/(H189*12))*'Customer Sector'!$F$60</f>
        <v>86.620189864307179</v>
      </c>
      <c r="I110" s="680">
        <f>('Utility Calc'!I54/(I189*12))*'Customer Sector'!$F$60</f>
        <v>87.514242042707721</v>
      </c>
      <c r="J110" s="680">
        <f>('Utility Calc'!J54/(J189*12))*'Customer Sector'!$F$60</f>
        <v>88.480760490564279</v>
      </c>
      <c r="K110" s="680">
        <f>('Utility Calc'!K54/(K189*12))*'Customer Sector'!$F$60</f>
        <v>89.523513132635614</v>
      </c>
      <c r="L110" s="680">
        <f>('Utility Calc'!L54/(L189*12))*'Customer Sector'!$F$60</f>
        <v>90.646473155211041</v>
      </c>
      <c r="M110" s="680">
        <f>('Utility Calc'!M54/(M189*12))*'Customer Sector'!$F$60</f>
        <v>91.853830140046639</v>
      </c>
      <c r="N110" s="680">
        <f>('Utility Calc'!N54/(N189*12))*'Customer Sector'!$F$60</f>
        <v>93.150001802208592</v>
      </c>
      <c r="O110" s="680">
        <f>('Utility Calc'!O54/(O189*12))*'Customer Sector'!$F$60</f>
        <v>94.539646364585877</v>
      </c>
      <c r="P110" s="680">
        <f>('Utility Calc'!P54/(P189*12))*'Customer Sector'!$F$60</f>
        <v>96.027675603610902</v>
      </c>
      <c r="Q110" s="680">
        <f>('Utility Calc'!Q54/(Q189*12))*'Customer Sector'!$F$60</f>
        <v>97.619268602599874</v>
      </c>
      <c r="R110" s="680">
        <f>('Utility Calc'!R54/(R189*12))*'Customer Sector'!$F$60</f>
        <v>99.319886251100996</v>
      </c>
      <c r="S110" s="680">
        <f>('Utility Calc'!S54/(S189*12))*'Customer Sector'!$F$60</f>
        <v>101.13528653072019</v>
      </c>
      <c r="T110" s="680">
        <f>('Utility Calc'!T54/(T189*12))*'Customer Sector'!$F$60</f>
        <v>103.07154063008896</v>
      </c>
      <c r="U110" s="680">
        <f>('Utility Calc'!U54/(U189*12))*'Customer Sector'!$F$60</f>
        <v>105.13504993395536</v>
      </c>
      <c r="V110" s="680">
        <f>('Utility Calc'!V54/(V189*12))*'Customer Sector'!$F$60</f>
        <v>107.33256393381616</v>
      </c>
      <c r="W110" s="680">
        <f>('Utility Calc'!W54/(W189*12))*'Customer Sector'!$F$60</f>
        <v>109.67119911008328</v>
      </c>
      <c r="X110" s="680">
        <f>('Utility Calc'!X54/(X189*12))*'Customer Sector'!$F$60</f>
        <v>112.15845883848745</v>
      </c>
      <c r="Y110" s="680">
        <f>('Utility Calc'!Y54/(Y189*12))*'Customer Sector'!$F$60</f>
        <v>114.80225437628276</v>
      </c>
      <c r="Z110" s="680">
        <f>('Utility Calc'!Z54/(Z189*12))*'Customer Sector'!$F$60</f>
        <v>117.61092698682843</v>
      </c>
      <c r="AA110" s="680">
        <f>('Utility Calc'!AA54/(AA189*12))*'Customer Sector'!$F$60</f>
        <v>120.59327126430207</v>
      </c>
      <c r="AB110" s="680">
        <f>('Utility Calc'!AB54/(AB189*12))*'Customer Sector'!$F$60</f>
        <v>123.75855972364948</v>
      </c>
      <c r="AC110" s="680">
        <f>('Utility Calc'!AC54/(AC189*12))*'Customer Sector'!$F$60</f>
        <v>127.1165687244069</v>
      </c>
      <c r="AD110" s="680">
        <f>('Utility Calc'!AD54/(AD189*12))*'Customer Sector'!$F$60</f>
        <v>130.67760580075395</v>
      </c>
      <c r="AE110" s="680">
        <f>('Utility Calc'!AE54/(AE189*12))*'Customer Sector'!$F$60</f>
        <v>134.45253847408443</v>
      </c>
      <c r="AF110" s="680">
        <f>('Utility Calc'!AF54/(AF189*12))*'Customer Sector'!$F$60</f>
        <v>138.45282462851466</v>
      </c>
      <c r="AH110" s="10"/>
      <c r="AI110" s="24" t="s">
        <v>557</v>
      </c>
      <c r="AJ110" s="24"/>
      <c r="AK110" s="25"/>
      <c r="AL110" s="295" t="s">
        <v>61</v>
      </c>
      <c r="AM110" s="680">
        <f>('Utility Calc'!G56/(AM189*12))*'Customer Sector'!$L$60</f>
        <v>345.75164194649392</v>
      </c>
      <c r="AN110" s="680">
        <f>('Utility Calc'!H56/(AN189*12))*'Customer Sector'!$L$60</f>
        <v>355.26265554584444</v>
      </c>
      <c r="AO110" s="680">
        <f>('Utility Calc'!I56/(AO189*12))*'Customer Sector'!$L$60</f>
        <v>358.92950679141074</v>
      </c>
      <c r="AP110" s="680">
        <f>('Utility Calc'!J56/(AP189*12))*'Customer Sector'!$L$60</f>
        <v>362.89357003067943</v>
      </c>
      <c r="AQ110" s="680">
        <f>('Utility Calc'!K56/(AQ189*12))*'Customer Sector'!$L$60</f>
        <v>367.17029896974111</v>
      </c>
      <c r="AR110" s="680">
        <f>('Utility Calc'!L56/(AR189*12))*'Customer Sector'!$L$60</f>
        <v>371.77598917103177</v>
      </c>
      <c r="AS110" s="680">
        <f>('Utility Calc'!M56/(AS189*12))*'Customer Sector'!$L$60</f>
        <v>376.72782371787866</v>
      </c>
      <c r="AT110" s="680">
        <f>('Utility Calc'!N56/(AT189*12))*'Customer Sector'!$L$60</f>
        <v>382.04392135590371</v>
      </c>
      <c r="AU110" s="680">
        <f>('Utility Calc'!O56/(AU189*12))*'Customer Sector'!$L$60</f>
        <v>387.74338724565035</v>
      </c>
      <c r="AV110" s="680">
        <f>('Utility Calc'!P56/(AV189*12))*'Customer Sector'!$L$60</f>
        <v>393.84636646809281</v>
      </c>
      <c r="AW110" s="680">
        <f>('Utility Calc'!Q56/(AW189*12))*'Customer Sector'!$L$60</f>
        <v>400.37410043236565</v>
      </c>
      <c r="AX110" s="680">
        <f>('Utility Calc'!R56/(AX189*12))*'Customer Sector'!$L$60</f>
        <v>407.34898634315721</v>
      </c>
      <c r="AY110" s="680">
        <f>('Utility Calc'!S56/(AY189*12))*'Customer Sector'!$L$60</f>
        <v>414.79463989374972</v>
      </c>
      <c r="AZ110" s="680">
        <f>('Utility Calc'!T56/(AZ189*12))*'Customer Sector'!$L$60</f>
        <v>422.73596135969041</v>
      </c>
      <c r="BA110" s="680">
        <f>('Utility Calc'!U56/(BA189*12))*'Customer Sector'!$L$60</f>
        <v>431.19920527757529</v>
      </c>
      <c r="BB110" s="680">
        <f>('Utility Calc'!V56/(BB189*12))*'Customer Sector'!$L$60</f>
        <v>440.21205390342908</v>
      </c>
      <c r="BC110" s="680">
        <f>('Utility Calc'!W56/(BC189*12))*'Customer Sector'!$L$60</f>
        <v>449.80369465571891</v>
      </c>
      <c r="BD110" s="680">
        <f>('Utility Calc'!X56/(BD189*12))*'Customer Sector'!$L$60</f>
        <v>460.00490175915911</v>
      </c>
      <c r="BE110" s="680">
        <f>('Utility Calc'!Y56/(BE189*12))*'Customer Sector'!$L$60</f>
        <v>470.84812231719258</v>
      </c>
      <c r="BF110" s="680">
        <f>('Utility Calc'!Z56/(BF189*12))*'Customer Sector'!$L$60</f>
        <v>482.36756705339593</v>
      </c>
      <c r="BG110" s="680">
        <f>('Utility Calc'!AA56/(BG189*12))*'Customer Sector'!$L$60</f>
        <v>494.59930597508389</v>
      </c>
      <c r="BH110" s="680">
        <f>('Utility Calc'!AB56/(BH189*12))*'Customer Sector'!$L$60</f>
        <v>507.58136922613363</v>
      </c>
      <c r="BI110" s="680">
        <f>('Utility Calc'!AC56/(BI189*12))*'Customer Sector'!$L$60</f>
        <v>521.35385341053404</v>
      </c>
      <c r="BJ110" s="680">
        <f>('Utility Calc'!AD56/(BJ189*12))*'Customer Sector'!$L$60</f>
        <v>535.95903368342522</v>
      </c>
      <c r="BK110" s="680">
        <f>('Utility Calc'!AE56/(BK189*12))*'Customer Sector'!$L$60</f>
        <v>551.44148192251384</v>
      </c>
      <c r="BL110" s="680">
        <f>('Utility Calc'!AF56/(BL189*12))*'Customer Sector'!$L$60</f>
        <v>567.84819130969527</v>
      </c>
    </row>
    <row r="111" spans="2:64" x14ac:dyDescent="0.25">
      <c r="B111" s="738" t="s">
        <v>92</v>
      </c>
      <c r="C111" s="739"/>
      <c r="D111" s="739"/>
      <c r="E111" s="739"/>
      <c r="F111" s="739"/>
      <c r="G111" s="739"/>
      <c r="H111" s="739"/>
      <c r="I111" s="739"/>
      <c r="J111" s="739"/>
      <c r="K111" s="739"/>
      <c r="L111" s="739"/>
      <c r="M111" s="211"/>
      <c r="N111" s="211"/>
      <c r="O111" s="211"/>
      <c r="P111" s="211"/>
      <c r="Q111" s="212"/>
      <c r="R111" s="262"/>
      <c r="S111" s="262"/>
      <c r="T111" s="262"/>
      <c r="U111" s="262"/>
      <c r="V111" s="262"/>
      <c r="W111" s="262"/>
      <c r="X111" s="262"/>
      <c r="Y111" s="262"/>
      <c r="Z111" s="262"/>
      <c r="AA111" s="262"/>
      <c r="AB111" s="262"/>
      <c r="AC111" s="262"/>
      <c r="AD111" s="262"/>
      <c r="AE111" s="262"/>
      <c r="AF111" s="262"/>
      <c r="AH111" s="738" t="s">
        <v>92</v>
      </c>
      <c r="AI111" s="739"/>
      <c r="AJ111" s="739"/>
      <c r="AK111" s="739"/>
      <c r="AL111" s="739"/>
      <c r="AM111" s="739"/>
      <c r="AN111" s="739"/>
      <c r="AO111" s="739"/>
      <c r="AP111" s="739"/>
      <c r="AQ111" s="739"/>
      <c r="AR111" s="739"/>
      <c r="AS111" s="149"/>
      <c r="AT111" s="149"/>
      <c r="AU111" s="149"/>
      <c r="AV111" s="149"/>
      <c r="AW111" s="224"/>
      <c r="AX111" s="108"/>
      <c r="AY111" s="108"/>
      <c r="AZ111" s="108"/>
      <c r="BA111" s="108"/>
      <c r="BB111" s="108"/>
      <c r="BC111" s="108"/>
      <c r="BD111" s="108"/>
      <c r="BE111" s="108"/>
      <c r="BF111" s="108"/>
      <c r="BG111" s="108"/>
      <c r="BH111" s="108"/>
      <c r="BI111" s="108"/>
      <c r="BJ111" s="108"/>
      <c r="BK111" s="108"/>
      <c r="BL111" s="108"/>
    </row>
    <row r="112" spans="2:64" x14ac:dyDescent="0.25">
      <c r="B112" s="120" t="s">
        <v>296</v>
      </c>
      <c r="C112" s="32"/>
      <c r="D112" s="32"/>
      <c r="E112" s="32"/>
      <c r="F112" s="109" t="s">
        <v>297</v>
      </c>
      <c r="G112" s="305">
        <f>SUM(G113:AF113)</f>
        <v>137297570.37111512</v>
      </c>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479"/>
      <c r="AE112" s="479"/>
      <c r="AF112" s="480"/>
      <c r="AH112" s="120" t="s">
        <v>296</v>
      </c>
      <c r="AI112" s="32"/>
      <c r="AJ112" s="32"/>
      <c r="AK112" s="32"/>
      <c r="AL112" s="109" t="s">
        <v>297</v>
      </c>
      <c r="AM112" s="305">
        <f>SUM(AM113:BL113)</f>
        <v>102724031.02886826</v>
      </c>
      <c r="AN112" s="308"/>
      <c r="AO112" s="308"/>
      <c r="AP112" s="308"/>
      <c r="AQ112" s="308"/>
      <c r="AR112" s="308"/>
      <c r="AS112" s="308"/>
      <c r="AT112" s="308"/>
      <c r="AU112" s="308"/>
      <c r="AV112" s="308"/>
      <c r="AW112" s="308"/>
      <c r="AX112" s="308"/>
      <c r="AY112" s="308"/>
      <c r="AZ112" s="308"/>
      <c r="BA112" s="308"/>
      <c r="BB112" s="308"/>
      <c r="BC112" s="308"/>
      <c r="BD112" s="308"/>
      <c r="BE112" s="308"/>
      <c r="BF112" s="308"/>
      <c r="BG112" s="308"/>
      <c r="BH112" s="308"/>
      <c r="BI112" s="308"/>
      <c r="BJ112" s="308"/>
      <c r="BK112" s="308"/>
      <c r="BL112" s="309"/>
    </row>
    <row r="113" spans="2:64" x14ac:dyDescent="0.25">
      <c r="B113" s="18"/>
      <c r="C113" s="378" t="s">
        <v>302</v>
      </c>
      <c r="D113" s="378"/>
      <c r="E113" s="378"/>
      <c r="F113" s="52" t="s">
        <v>19</v>
      </c>
      <c r="G113" s="379">
        <f>G114</f>
        <v>0</v>
      </c>
      <c r="H113" s="379">
        <f t="shared" ref="H113:AF113" si="102">H114</f>
        <v>16793351.747185588</v>
      </c>
      <c r="I113" s="379">
        <f t="shared" si="102"/>
        <v>16025930.926984007</v>
      </c>
      <c r="J113" s="379">
        <f t="shared" si="102"/>
        <v>15293669.008000504</v>
      </c>
      <c r="K113" s="379">
        <f t="shared" si="102"/>
        <v>14594951.168532789</v>
      </c>
      <c r="L113" s="379">
        <f t="shared" si="102"/>
        <v>13928236.936442081</v>
      </c>
      <c r="M113" s="379">
        <f t="shared" si="102"/>
        <v>13292056.757769888</v>
      </c>
      <c r="N113" s="379">
        <f t="shared" si="102"/>
        <v>12685008.724087091</v>
      </c>
      <c r="O113" s="379">
        <f t="shared" si="102"/>
        <v>12105755.451216064</v>
      </c>
      <c r="P113" s="379">
        <f t="shared" si="102"/>
        <v>11553021.102308631</v>
      </c>
      <c r="Q113" s="379">
        <f t="shared" si="102"/>
        <v>11025588.548588481</v>
      </c>
      <c r="R113" s="379">
        <f t="shared" si="102"/>
        <v>0</v>
      </c>
      <c r="S113" s="379">
        <f t="shared" si="102"/>
        <v>0</v>
      </c>
      <c r="T113" s="379">
        <f t="shared" si="102"/>
        <v>0</v>
      </c>
      <c r="U113" s="379">
        <f t="shared" si="102"/>
        <v>0</v>
      </c>
      <c r="V113" s="379">
        <f t="shared" si="102"/>
        <v>0</v>
      </c>
      <c r="W113" s="379">
        <f t="shared" si="102"/>
        <v>0</v>
      </c>
      <c r="X113" s="379">
        <f t="shared" si="102"/>
        <v>0</v>
      </c>
      <c r="Y113" s="379">
        <f t="shared" si="102"/>
        <v>0</v>
      </c>
      <c r="Z113" s="379">
        <f t="shared" si="102"/>
        <v>0</v>
      </c>
      <c r="AA113" s="379">
        <f t="shared" si="102"/>
        <v>0</v>
      </c>
      <c r="AB113" s="379">
        <f t="shared" si="102"/>
        <v>0</v>
      </c>
      <c r="AC113" s="379">
        <f t="shared" si="102"/>
        <v>0</v>
      </c>
      <c r="AD113" s="379">
        <f t="shared" si="102"/>
        <v>0</v>
      </c>
      <c r="AE113" s="379">
        <f t="shared" si="102"/>
        <v>0</v>
      </c>
      <c r="AF113" s="497">
        <f t="shared" si="102"/>
        <v>0</v>
      </c>
      <c r="AH113" s="18"/>
      <c r="AI113" s="378" t="s">
        <v>302</v>
      </c>
      <c r="AJ113" s="378"/>
      <c r="AK113" s="378"/>
      <c r="AL113" s="52" t="s">
        <v>19</v>
      </c>
      <c r="AM113" s="379">
        <f>AM114-(AM115+AM117)</f>
        <v>0</v>
      </c>
      <c r="AN113" s="379">
        <f>AN114</f>
        <v>12648119.444444444</v>
      </c>
      <c r="AO113" s="379">
        <f t="shared" ref="AO113:BL113" si="103">AO114</f>
        <v>12050847.137345675</v>
      </c>
      <c r="AP113" s="379">
        <f t="shared" si="103"/>
        <v>11481779.355859907</v>
      </c>
      <c r="AQ113" s="379">
        <f t="shared" si="103"/>
        <v>10939584.219610965</v>
      </c>
      <c r="AR113" s="379">
        <f t="shared" si="103"/>
        <v>10422992.742573781</v>
      </c>
      <c r="AS113" s="379">
        <f t="shared" si="103"/>
        <v>9930795.8630633503</v>
      </c>
      <c r="AT113" s="379">
        <f t="shared" si="103"/>
        <v>9461841.6139742453</v>
      </c>
      <c r="AU113" s="379">
        <f t="shared" si="103"/>
        <v>9015032.4266476836</v>
      </c>
      <c r="AV113" s="379">
        <f t="shared" si="103"/>
        <v>8589322.5620559864</v>
      </c>
      <c r="AW113" s="379">
        <f t="shared" si="103"/>
        <v>8183715.6632922301</v>
      </c>
      <c r="AX113" s="379">
        <f t="shared" si="103"/>
        <v>0</v>
      </c>
      <c r="AY113" s="379">
        <f t="shared" si="103"/>
        <v>0</v>
      </c>
      <c r="AZ113" s="379">
        <f t="shared" si="103"/>
        <v>0</v>
      </c>
      <c r="BA113" s="379">
        <f t="shared" si="103"/>
        <v>0</v>
      </c>
      <c r="BB113" s="379">
        <f t="shared" si="103"/>
        <v>0</v>
      </c>
      <c r="BC113" s="379">
        <f t="shared" si="103"/>
        <v>0</v>
      </c>
      <c r="BD113" s="379">
        <f t="shared" si="103"/>
        <v>0</v>
      </c>
      <c r="BE113" s="379">
        <f t="shared" si="103"/>
        <v>0</v>
      </c>
      <c r="BF113" s="379">
        <f t="shared" si="103"/>
        <v>0</v>
      </c>
      <c r="BG113" s="379">
        <f t="shared" si="103"/>
        <v>0</v>
      </c>
      <c r="BH113" s="379">
        <f t="shared" si="103"/>
        <v>0</v>
      </c>
      <c r="BI113" s="379">
        <f t="shared" si="103"/>
        <v>0</v>
      </c>
      <c r="BJ113" s="379">
        <f t="shared" si="103"/>
        <v>0</v>
      </c>
      <c r="BK113" s="379">
        <f t="shared" si="103"/>
        <v>0</v>
      </c>
      <c r="BL113" s="379">
        <f t="shared" si="103"/>
        <v>0</v>
      </c>
    </row>
    <row r="114" spans="2:64" x14ac:dyDescent="0.25">
      <c r="B114" s="18"/>
      <c r="C114" s="378"/>
      <c r="D114" s="378" t="s">
        <v>300</v>
      </c>
      <c r="E114" s="378"/>
      <c r="F114" s="52" t="s">
        <v>19</v>
      </c>
      <c r="G114" s="380">
        <f>G7/((1+'Customer Sector'!$F$64)^G15)</f>
        <v>0</v>
      </c>
      <c r="H114" s="380">
        <f>(H7+H8)/((1+'Customer Sector'!$F$64)^H15)</f>
        <v>16793351.747185588</v>
      </c>
      <c r="I114" s="380">
        <f>(I7+I8)/((1+'Customer Sector'!$F$64)^I15)</f>
        <v>16025930.926984007</v>
      </c>
      <c r="J114" s="380">
        <f>(J7+J8)/((1+'Customer Sector'!$F$64)^J15)</f>
        <v>15293669.008000504</v>
      </c>
      <c r="K114" s="380">
        <f>(K7+K8)/((1+'Customer Sector'!$F$64)^K15)</f>
        <v>14594951.168532789</v>
      </c>
      <c r="L114" s="380">
        <f>(L7+L8)/((1+'Customer Sector'!$F$64)^L15)</f>
        <v>13928236.936442081</v>
      </c>
      <c r="M114" s="380">
        <f>(M7+M8)/((1+'Customer Sector'!$F$64)^M15)</f>
        <v>13292056.757769888</v>
      </c>
      <c r="N114" s="380">
        <f>(N7+N8)/((1+'Customer Sector'!$F$64)^N15)</f>
        <v>12685008.724087091</v>
      </c>
      <c r="O114" s="380">
        <f>(O7+O8)/((1+'Customer Sector'!$F$64)^O15)</f>
        <v>12105755.451216064</v>
      </c>
      <c r="P114" s="380">
        <f>(P7+P8)/((1+'Customer Sector'!$F$64)^P15)</f>
        <v>11553021.102308631</v>
      </c>
      <c r="Q114" s="380">
        <f>(Q7+Q8)/((1+'Customer Sector'!$F$64)^Q15)</f>
        <v>11025588.548588481</v>
      </c>
      <c r="R114" s="380">
        <f>(R7+R8)/((1+'Customer Sector'!$F$64)^R15)</f>
        <v>0</v>
      </c>
      <c r="S114" s="380">
        <f>(S7+S8)/((1+'Customer Sector'!$F$64)^S15)</f>
        <v>0</v>
      </c>
      <c r="T114" s="380">
        <f>(T7+T8)/((1+'Customer Sector'!$F$64)^T15)</f>
        <v>0</v>
      </c>
      <c r="U114" s="380">
        <f>(U7+U8)/((1+'Customer Sector'!$F$64)^U15)</f>
        <v>0</v>
      </c>
      <c r="V114" s="380">
        <f>(V7+V8)/((1+'Customer Sector'!$F$64)^V15)</f>
        <v>0</v>
      </c>
      <c r="W114" s="380">
        <f>(W7+W8)/((1+'Customer Sector'!$F$64)^W15)</f>
        <v>0</v>
      </c>
      <c r="X114" s="380">
        <f>(X7+X8)/((1+'Customer Sector'!$F$64)^X15)</f>
        <v>0</v>
      </c>
      <c r="Y114" s="380">
        <f>(Y7+Y8)/((1+'Customer Sector'!$F$64)^Y15)</f>
        <v>0</v>
      </c>
      <c r="Z114" s="380">
        <f>(Z7+Z8)/((1+'Customer Sector'!$F$64)^Z15)</f>
        <v>0</v>
      </c>
      <c r="AA114" s="380">
        <f>(AA7+AA8)/((1+'Customer Sector'!$F$64)^AA15)</f>
        <v>0</v>
      </c>
      <c r="AB114" s="380">
        <f>(AB7+AB8)/((1+'Customer Sector'!$F$64)^AB15)</f>
        <v>0</v>
      </c>
      <c r="AC114" s="380">
        <f>(AC7+AC8)/((1+'Customer Sector'!$F$64)^AC15)</f>
        <v>0</v>
      </c>
      <c r="AD114" s="380">
        <f>(AD7+AD8)/((1+'Customer Sector'!$F$64)^AD15)</f>
        <v>0</v>
      </c>
      <c r="AE114" s="380">
        <f>(AE7+AE8)/((1+'Customer Sector'!$F$64)^AE15)</f>
        <v>0</v>
      </c>
      <c r="AF114" s="381">
        <f>(AF7+AF8)/((1+'Customer Sector'!$F$64)^AF15)</f>
        <v>0</v>
      </c>
      <c r="AH114" s="18"/>
      <c r="AI114" s="378"/>
      <c r="AJ114" s="378" t="s">
        <v>300</v>
      </c>
      <c r="AK114" s="378"/>
      <c r="AL114" s="52" t="s">
        <v>19</v>
      </c>
      <c r="AM114" s="380">
        <f>AM7/((1+'Customer Sector'!$F$64)^AM15)</f>
        <v>0</v>
      </c>
      <c r="AN114" s="380">
        <f>AN7/((1+'Customer Sector'!$L$64)^AN15)</f>
        <v>12648119.444444444</v>
      </c>
      <c r="AO114" s="380">
        <f>AO7/((1+'Customer Sector'!$L$64)^AO15)</f>
        <v>12050847.137345675</v>
      </c>
      <c r="AP114" s="380">
        <f>AP7/((1+'Customer Sector'!$L$64)^AP15)</f>
        <v>11481779.355859907</v>
      </c>
      <c r="AQ114" s="380">
        <f>AQ7/((1+'Customer Sector'!$L$64)^AQ15)</f>
        <v>10939584.219610965</v>
      </c>
      <c r="AR114" s="380">
        <f>AR7/((1+'Customer Sector'!$L$64)^AR15)</f>
        <v>10422992.742573781</v>
      </c>
      <c r="AS114" s="380">
        <f>AS7/((1+'Customer Sector'!$L$64)^AS15)</f>
        <v>9930795.8630633503</v>
      </c>
      <c r="AT114" s="380">
        <f>AT7/((1+'Customer Sector'!$L$64)^AT15)</f>
        <v>9461841.6139742453</v>
      </c>
      <c r="AU114" s="380">
        <f>AU7/((1+'Customer Sector'!$L$64)^AU15)</f>
        <v>9015032.4266476836</v>
      </c>
      <c r="AV114" s="380">
        <f>AV7/((1+'Customer Sector'!$L$64)^AV15)</f>
        <v>8589322.5620559864</v>
      </c>
      <c r="AW114" s="380">
        <f>AW7/((1+'Customer Sector'!$L$64)^AW15)</f>
        <v>8183715.6632922301</v>
      </c>
      <c r="AX114" s="380">
        <f>AX7/((1+'Customer Sector'!$L$64)^AX15)</f>
        <v>0</v>
      </c>
      <c r="AY114" s="380">
        <f>AY7/((1+'Customer Sector'!$L$64)^AY15)</f>
        <v>0</v>
      </c>
      <c r="AZ114" s="380">
        <f>AZ7/((1+'Customer Sector'!$L$64)^AZ15)</f>
        <v>0</v>
      </c>
      <c r="BA114" s="380">
        <f>BA7/((1+'Customer Sector'!$L$64)^BA15)</f>
        <v>0</v>
      </c>
      <c r="BB114" s="380">
        <f>BB7/((1+'Customer Sector'!$L$64)^BB15)</f>
        <v>0</v>
      </c>
      <c r="BC114" s="380">
        <f>BC7/((1+'Customer Sector'!$L$64)^BC15)</f>
        <v>0</v>
      </c>
      <c r="BD114" s="380">
        <f>BD7/((1+'Customer Sector'!$L$64)^BD15)</f>
        <v>0</v>
      </c>
      <c r="BE114" s="380">
        <f>BE7/((1+'Customer Sector'!$L$64)^BE15)</f>
        <v>0</v>
      </c>
      <c r="BF114" s="380">
        <f>BF7/((1+'Customer Sector'!$L$64)^BF15)</f>
        <v>0</v>
      </c>
      <c r="BG114" s="380">
        <f>BG7/((1+'Customer Sector'!$L$64)^BG15)</f>
        <v>0</v>
      </c>
      <c r="BH114" s="380">
        <f>BH7/((1+'Customer Sector'!$L$64)^BH15)</f>
        <v>0</v>
      </c>
      <c r="BI114" s="380">
        <f>BI7/((1+'Customer Sector'!$L$64)^BI15)</f>
        <v>0</v>
      </c>
      <c r="BJ114" s="380">
        <f>BJ7/((1+'Customer Sector'!$L$64)^BJ15)</f>
        <v>0</v>
      </c>
      <c r="BK114" s="380">
        <f>BK7/((1+'Customer Sector'!$L$64)^BK15)</f>
        <v>0</v>
      </c>
      <c r="BL114" s="381">
        <f>BL7/((1+'Customer Sector'!$L$64)^BL15)</f>
        <v>0</v>
      </c>
    </row>
    <row r="115" spans="2:64" x14ac:dyDescent="0.25">
      <c r="B115" s="18"/>
      <c r="C115" s="378"/>
      <c r="D115" s="19" t="s">
        <v>299</v>
      </c>
      <c r="E115" s="19"/>
      <c r="F115" s="339" t="s">
        <v>19</v>
      </c>
      <c r="G115" s="299">
        <v>0</v>
      </c>
      <c r="H115" s="299">
        <f>(H64*H26)/((1+'Customer Sector'!$F$64)^H15)</f>
        <v>2225208.8230880806</v>
      </c>
      <c r="I115" s="299">
        <f>(I64*I26)/((1+'Customer Sector'!$F$64)^I15)</f>
        <v>4345964.3637244022</v>
      </c>
      <c r="J115" s="299">
        <f>(J64*J26)/((1+'Customer Sector'!$F$64)^J15)</f>
        <v>6366730.859204825</v>
      </c>
      <c r="K115" s="299">
        <f>(K64*K26)/((1+'Customer Sector'!$F$64)^K15)</f>
        <v>8291783.5935694193</v>
      </c>
      <c r="L115" s="299">
        <f>(L64*L26)/((1+'Customer Sector'!$F$64)^L15)</f>
        <v>10125216.88672523</v>
      </c>
      <c r="M115" s="299">
        <f>(M64*M26)/((1+'Customer Sector'!$F$64)^M15)</f>
        <v>11870951.745821012</v>
      </c>
      <c r="N115" s="299">
        <f>(N64*N26)/((1+'Customer Sector'!$F$64)^N15)</f>
        <v>13532743.193152394</v>
      </c>
      <c r="O115" s="299">
        <f>(O64*O26)/((1+'Customer Sector'!$F$64)^O15)</f>
        <v>15114187.284272272</v>
      </c>
      <c r="P115" s="299">
        <f>(P64*P26)/((1+'Customer Sector'!$F$64)^P15)</f>
        <v>16618727.829403166</v>
      </c>
      <c r="Q115" s="299">
        <f>(Q64*Q26)/((1+'Customer Sector'!$F$64)^Q15)</f>
        <v>18049662.83069453</v>
      </c>
      <c r="R115" s="299">
        <f>(R64*R26)/((1+'Customer Sector'!$F$64)^R15)</f>
        <v>15841907.777712811</v>
      </c>
      <c r="S115" s="299">
        <f>(S64*S26)/((1+'Customer Sector'!$F$64)^S15)</f>
        <v>13734226.656606609</v>
      </c>
      <c r="T115" s="299">
        <f>(T64*T26)/((1+'Customer Sector'!$F$64)^T15)</f>
        <v>11722357.358170263</v>
      </c>
      <c r="U115" s="299">
        <f>(U64*U26)/((1+'Customer Sector'!$F$64)^U15)</f>
        <v>9802218.1021499224</v>
      </c>
      <c r="V115" s="299">
        <f>(V64*V26)/((1+'Customer Sector'!$F$64)^V15)</f>
        <v>7969899.8130862182</v>
      </c>
      <c r="W115" s="299">
        <f>(W64*W26)/((1+'Customer Sector'!$F$64)^W15)</f>
        <v>6221658.8184741652</v>
      </c>
      <c r="X115" s="299">
        <f>(X64*X26)/((1+'Customer Sector'!$F$64)^X15)</f>
        <v>4553909.8556142719</v>
      </c>
      <c r="Y115" s="299">
        <f>(Y64*Y26)/((1+'Customer Sector'!$F$64)^Y15)</f>
        <v>2963219.3741047005</v>
      </c>
      <c r="Z115" s="299">
        <f>(Z64*Z26)/((1+'Customer Sector'!$F$64)^Z15)</f>
        <v>1446299.1214762363</v>
      </c>
      <c r="AA115" s="299">
        <f>(AA64*AA26)/((1+'Customer Sector'!$F$64)^AA15)</f>
        <v>0</v>
      </c>
      <c r="AB115" s="299">
        <f>(AB64*AB26)/((1+'Customer Sector'!$F$64)^AB15)</f>
        <v>0</v>
      </c>
      <c r="AC115" s="299">
        <f>(AC64*AC26)/((1+'Customer Sector'!$F$64)^AC15)</f>
        <v>0</v>
      </c>
      <c r="AD115" s="299">
        <f>(AD64*AD26)/((1+'Customer Sector'!$F$64)^AD15)</f>
        <v>0</v>
      </c>
      <c r="AE115" s="299">
        <f>(AE64*AE26)/((1+'Customer Sector'!$F$64)^AE15)</f>
        <v>0</v>
      </c>
      <c r="AF115" s="302">
        <f>(AF64*AF26)/((1+'Customer Sector'!$F$64)^AF15)</f>
        <v>0</v>
      </c>
      <c r="AH115" s="18"/>
      <c r="AI115" s="378"/>
      <c r="AJ115" s="19" t="s">
        <v>299</v>
      </c>
      <c r="AK115" s="19"/>
      <c r="AL115" s="339" t="s">
        <v>19</v>
      </c>
      <c r="AM115" s="299">
        <v>0</v>
      </c>
      <c r="AN115" s="299">
        <f>(AN64*AN26)/((1+'Customer Sector'!$L$64)^AN15)</f>
        <v>9268035.2916666642</v>
      </c>
      <c r="AO115" s="299">
        <f>(AO64*AO26)/((1+'Customer Sector'!$L$64)^AO15)</f>
        <v>18624765.531106368</v>
      </c>
      <c r="AP115" s="299">
        <f>(AP64*AP26)/((1+'Customer Sector'!$L$64)^AP15)</f>
        <v>28091646.478560954</v>
      </c>
      <c r="AQ115" s="299">
        <f>(AQ64*AQ26)/((1+'Customer Sector'!$L$64)^AQ15)</f>
        <v>37690536.433738492</v>
      </c>
      <c r="AR115" s="299">
        <f>(AR64*AR26)/((1+'Customer Sector'!$L$64)^AR15)</f>
        <v>47443747.793775916</v>
      </c>
      <c r="AS115" s="299">
        <f>(AS64*AS26)/((1+'Customer Sector'!$L$64)^AS15)</f>
        <v>57374099.999634236</v>
      </c>
      <c r="AT115" s="299">
        <f>(AT64*AT26)/((1+'Customer Sector'!$L$64)^AT15)</f>
        <v>67504973.998849809</v>
      </c>
      <c r="AU115" s="299">
        <f>(AU64*AU26)/((1+'Customer Sector'!$L$64)^AU15)</f>
        <v>77860368.356876358</v>
      </c>
      <c r="AV115" s="299">
        <f>(AV64*AV26)/((1+'Customer Sector'!$L$64)^AV15)</f>
        <v>88464957.15388982</v>
      </c>
      <c r="AW115" s="299">
        <f>(AW64*AW26)/((1+'Customer Sector'!$L$64)^AW15)</f>
        <v>99344149.808902904</v>
      </c>
      <c r="AX115" s="299">
        <f>(AX64*AX26)/((1+'Customer Sector'!$L$64)^AX15)</f>
        <v>95111038.786840692</v>
      </c>
      <c r="AY115" s="299">
        <f>(AY64*AY26)/((1+'Customer Sector'!$L$64)^AY15)</f>
        <v>91058303.045653835</v>
      </c>
      <c r="AZ115" s="299">
        <f>(AZ64*AZ26)/((1+'Customer Sector'!$L$64)^AZ15)</f>
        <v>87178256.691497058</v>
      </c>
      <c r="BA115" s="299">
        <f>(BA64*BA26)/((1+'Customer Sector'!$L$64)^BA15)</f>
        <v>83463541.330856115</v>
      </c>
      <c r="BB115" s="299">
        <f>(BB64*BB26)/((1+'Customer Sector'!$L$64)^BB15)</f>
        <v>79907112.115571514</v>
      </c>
      <c r="BC115" s="299">
        <f>(BC64*BC26)/((1+'Customer Sector'!$L$64)^BC15)</f>
        <v>71679226.262799919</v>
      </c>
      <c r="BD115" s="299">
        <f>(BD64*BD26)/((1+'Customer Sector'!$L$64)^BD15)</f>
        <v>63550268.609071031</v>
      </c>
      <c r="BE115" s="299">
        <f>(BE64*BE26)/((1+'Customer Sector'!$L$64)^BE15)</f>
        <v>55502891.657928936</v>
      </c>
      <c r="BF115" s="299">
        <f>(BF64*BF26)/((1+'Customer Sector'!$L$64)^BF15)</f>
        <v>47519801.858899295</v>
      </c>
      <c r="BG115" s="299">
        <f>(BG64*BG26)/((1+'Customer Sector'!$L$64)^BG15)</f>
        <v>39583721.552576609</v>
      </c>
      <c r="BH115" s="299">
        <f>(BH64*BH26)/((1+'Customer Sector'!$L$64)^BH15)</f>
        <v>31677350.671472404</v>
      </c>
      <c r="BI115" s="299">
        <f>(BI64*BI26)/((1+'Customer Sector'!$L$64)^BI15)</f>
        <v>23783328.109674193</v>
      </c>
      <c r="BJ115" s="299">
        <f>(BJ64*BJ26)/((1+'Customer Sector'!$L$64)^BJ15)</f>
        <v>15884192.672989434</v>
      </c>
      <c r="BK115" s="299">
        <f>(BK64*BK26)/((1+'Customer Sector'!$L$64)^BK15)</f>
        <v>7962343.5196676087</v>
      </c>
      <c r="BL115" s="302">
        <f>(BL64*BL26)/((1+'Customer Sector'!$L$64)^BL15)</f>
        <v>0</v>
      </c>
    </row>
    <row r="116" spans="2:64" x14ac:dyDescent="0.25">
      <c r="B116" s="18"/>
      <c r="C116" s="378"/>
      <c r="D116" s="19"/>
      <c r="E116" s="19" t="s">
        <v>360</v>
      </c>
      <c r="F116" s="339" t="s">
        <v>19</v>
      </c>
      <c r="G116" s="299">
        <v>0</v>
      </c>
      <c r="H116" s="299">
        <f>SUMPRODUCT(H65:$AF65,H26:$AF26,1/((1+'Customer Sector'!$F$64)^H15:$AF15))</f>
        <v>18462521.922982618</v>
      </c>
      <c r="I116" s="299">
        <f>SUMPRODUCT(I66:$AF66,I26:$AF26,1/((1+'Customer Sector'!$F$64)^I15:$AF15))</f>
        <v>18376384.624070529</v>
      </c>
      <c r="J116" s="299">
        <f>SUMPRODUCT(J67:$AF67,J26:$AF26,1/((1+'Customer Sector'!$F$64)^J15:$AF15))</f>
        <v>18290649.20060616</v>
      </c>
      <c r="K116" s="299">
        <f>SUMPRODUCT(K68:$AF68,K26:$AF26,1/((1+'Customer Sector'!$F$64)^K15:$AF15))</f>
        <v>18205313.777630843</v>
      </c>
      <c r="L116" s="299">
        <f>SUMPRODUCT(L69:$AF69,L26:$AF26,1/((1+'Customer Sector'!$F$64)^L15:$AF15))</f>
        <v>18120376.488933563</v>
      </c>
      <c r="M116" s="299">
        <f>SUMPRODUCT(M70:$AF70,M26:$AF26,1/((1+'Customer Sector'!$F$64)^M15:$AF15))</f>
        <v>18035835.477010168</v>
      </c>
      <c r="N116" s="299">
        <f>SUMPRODUCT(N71:$AF71,N26:$AF26,1/((1+'Customer Sector'!$F$64)^N15:$AF15))</f>
        <v>17951688.893022712</v>
      </c>
      <c r="O116" s="299">
        <f>SUMPRODUCT(O72:$AF72,O26:$AF26,1/((1+'Customer Sector'!$F$64)^O15:$AF15))</f>
        <v>17867934.896759056</v>
      </c>
      <c r="P116" s="299">
        <f>SUMPRODUCT(P73:$AF73,P26:$AF26,1/((1+'Customer Sector'!$F$64)^P15:$AF15))</f>
        <v>17784571.656592611</v>
      </c>
      <c r="Q116" s="299">
        <f>SUMPRODUCT(Q74:$AF74,Q26:$AF26,1/((1+'Customer Sector'!$F$64)^Q15:$AF15))</f>
        <v>17701597.34944227</v>
      </c>
      <c r="R116" s="299">
        <v>0</v>
      </c>
      <c r="S116" s="299">
        <v>0</v>
      </c>
      <c r="T116" s="299">
        <v>0</v>
      </c>
      <c r="U116" s="299">
        <v>0</v>
      </c>
      <c r="V116" s="299">
        <v>0</v>
      </c>
      <c r="W116" s="299">
        <v>0</v>
      </c>
      <c r="X116" s="299">
        <v>0</v>
      </c>
      <c r="Y116" s="299">
        <v>0</v>
      </c>
      <c r="Z116" s="299">
        <v>0</v>
      </c>
      <c r="AA116" s="299">
        <v>0</v>
      </c>
      <c r="AB116" s="299">
        <v>0</v>
      </c>
      <c r="AC116" s="299">
        <v>0</v>
      </c>
      <c r="AD116" s="299">
        <v>0</v>
      </c>
      <c r="AE116" s="299">
        <v>0</v>
      </c>
      <c r="AF116" s="302">
        <v>0</v>
      </c>
      <c r="AH116" s="18"/>
      <c r="AI116" s="378"/>
      <c r="AJ116" s="19"/>
      <c r="AK116" s="19" t="s">
        <v>310</v>
      </c>
      <c r="AL116" s="339" t="s">
        <v>19</v>
      </c>
      <c r="AM116" s="299">
        <v>0</v>
      </c>
      <c r="AN116" s="299">
        <f>SUMPRODUCT(AN65:$BL65,AN26:$BL26,1/((1+'Customer Sector'!$L$64)^AN15:$BL15))</f>
        <v>104317707.80812159</v>
      </c>
      <c r="AO116" s="299">
        <f>SUMPRODUCT(AO66:$BL66,AO26:$BL26,1/((1+'Customer Sector'!$L$64)^AO15:$BL15))</f>
        <v>109761063.75583148</v>
      </c>
      <c r="AP116" s="299">
        <f>SUMPRODUCT(AP67:$BL67,AP26:$BL26,1/((1+'Customer Sector'!$L$64)^AP15:$BL15))</f>
        <v>115488457.0409795</v>
      </c>
      <c r="AQ116" s="299">
        <f>SUMPRODUCT(AQ68:$BL68,AQ26:$BL26,1/((1+'Customer Sector'!$L$64)^AQ15:$BL15))</f>
        <v>121514708.8896317</v>
      </c>
      <c r="AR116" s="299">
        <f>SUMPRODUCT(AR69:$BL69,AR26:$BL26,1/((1+'Customer Sector'!$L$64)^AR15:$BL15))</f>
        <v>127855413.90766427</v>
      </c>
      <c r="AS116" s="299">
        <f>SUMPRODUCT(AS70:$BL70,AS26:$BL26,1/((1+'Customer Sector'!$L$64)^AS15:$BL15))</f>
        <v>134526980.43615165</v>
      </c>
      <c r="AT116" s="299">
        <f>SUMPRODUCT(AT71:$BL71,AT26:$BL26,1/((1+'Customer Sector'!$L$64)^AT15:$BL15))</f>
        <v>141546673.01252139</v>
      </c>
      <c r="AU116" s="299">
        <f>SUMPRODUCT(AU72:$BL72,AU26:$BL26,1/((1+'Customer Sector'!$L$64)^AU15:$BL15))</f>
        <v>148932657.04735535</v>
      </c>
      <c r="AV116" s="299">
        <f>SUMPRODUCT(AV73:$BL73,AV26:$BL26,1/((1+'Customer Sector'!$L$64)^AV15:$BL15))</f>
        <v>156704045.83245131</v>
      </c>
      <c r="AW116" s="299">
        <f>SUMPRODUCT(AW74:$BL74,AW26:$BL26,1/((1+'Customer Sector'!$L$64)^AW15:$BL15))</f>
        <v>164880950.00179183</v>
      </c>
      <c r="AX116" s="299">
        <v>0</v>
      </c>
      <c r="AY116" s="299">
        <v>0</v>
      </c>
      <c r="AZ116" s="299">
        <v>0</v>
      </c>
      <c r="BA116" s="299">
        <v>0</v>
      </c>
      <c r="BB116" s="299">
        <v>0</v>
      </c>
      <c r="BC116" s="299">
        <v>0</v>
      </c>
      <c r="BD116" s="299">
        <v>0</v>
      </c>
      <c r="BE116" s="299">
        <v>0</v>
      </c>
      <c r="BF116" s="299">
        <v>0</v>
      </c>
      <c r="BG116" s="299">
        <v>0</v>
      </c>
      <c r="BH116" s="299">
        <v>0</v>
      </c>
      <c r="BI116" s="299">
        <v>0</v>
      </c>
      <c r="BJ116" s="299">
        <v>0</v>
      </c>
      <c r="BK116" s="299">
        <v>0</v>
      </c>
      <c r="BL116" s="302">
        <v>0</v>
      </c>
    </row>
    <row r="117" spans="2:64" x14ac:dyDescent="0.25">
      <c r="B117" s="18"/>
      <c r="C117" s="378"/>
      <c r="D117" s="123" t="s">
        <v>317</v>
      </c>
      <c r="E117" s="123"/>
      <c r="F117" s="12" t="s">
        <v>19</v>
      </c>
      <c r="G117" s="382">
        <v>0</v>
      </c>
      <c r="H117" s="382">
        <v>0</v>
      </c>
      <c r="I117" s="382">
        <v>0</v>
      </c>
      <c r="J117" s="382">
        <v>0</v>
      </c>
      <c r="K117" s="382">
        <v>0</v>
      </c>
      <c r="L117" s="382">
        <v>0</v>
      </c>
      <c r="M117" s="382">
        <v>0</v>
      </c>
      <c r="N117" s="382">
        <v>0</v>
      </c>
      <c r="O117" s="382">
        <v>0</v>
      </c>
      <c r="P117" s="382">
        <v>0</v>
      </c>
      <c r="Q117" s="382">
        <v>0</v>
      </c>
      <c r="R117" s="382">
        <v>0</v>
      </c>
      <c r="S117" s="382">
        <v>0</v>
      </c>
      <c r="T117" s="382">
        <v>0</v>
      </c>
      <c r="U117" s="382">
        <v>0</v>
      </c>
      <c r="V117" s="382">
        <v>0</v>
      </c>
      <c r="W117" s="382">
        <v>0</v>
      </c>
      <c r="X117" s="382">
        <v>0</v>
      </c>
      <c r="Y117" s="382">
        <v>0</v>
      </c>
      <c r="Z117" s="382">
        <v>0</v>
      </c>
      <c r="AA117" s="382">
        <v>0</v>
      </c>
      <c r="AB117" s="382">
        <v>0</v>
      </c>
      <c r="AC117" s="382">
        <v>0</v>
      </c>
      <c r="AD117" s="382">
        <v>0</v>
      </c>
      <c r="AE117" s="382">
        <v>0</v>
      </c>
      <c r="AF117" s="383">
        <v>0</v>
      </c>
      <c r="AH117" s="18"/>
      <c r="AI117" s="378"/>
      <c r="AJ117" s="123" t="s">
        <v>317</v>
      </c>
      <c r="AK117" s="123"/>
      <c r="AL117" s="12" t="s">
        <v>19</v>
      </c>
      <c r="AM117" s="382">
        <v>0</v>
      </c>
      <c r="AN117" s="382">
        <f>(AN76*AN29)/((1+'Customer Sector'!$L$64)^AN15)</f>
        <v>526005.2568173334</v>
      </c>
      <c r="AO117" s="382">
        <f>(AO76*AO29)/((1+'Customer Sector'!$L$64)^AO15)</f>
        <v>974951.63038280618</v>
      </c>
      <c r="AP117" s="382">
        <f>(AP76*AP29)/((1+'Customer Sector'!$L$64)^AP15)</f>
        <v>1356490.2067093698</v>
      </c>
      <c r="AQ117" s="382">
        <f>(AQ76*AQ29)/((1+'Customer Sector'!$L$64)^AQ15)</f>
        <v>1679131.7950646884</v>
      </c>
      <c r="AR117" s="382">
        <f>(AR76*AR29)/((1+'Customer Sector'!$L$64)^AR15)</f>
        <v>1950377.341190675</v>
      </c>
      <c r="AS117" s="382">
        <f>(AS76*AS29)/((1+'Customer Sector'!$L$64)^AS15)</f>
        <v>2176833.721866461</v>
      </c>
      <c r="AT117" s="382">
        <f>(AT76*AT29)/((1+'Customer Sector'!$L$64)^AT15)</f>
        <v>2364316.538578413</v>
      </c>
      <c r="AU117" s="382">
        <f>(AU76*AU29)/((1+'Customer Sector'!$L$64)^AU15)</f>
        <v>2517941.3505156273</v>
      </c>
      <c r="AV117" s="382">
        <f>(AV76*AV29)/((1+'Customer Sector'!$L$64)^AV15)</f>
        <v>2642204.6289442619</v>
      </c>
      <c r="AW117" s="382">
        <f>(AW76*AW29)/((1+'Customer Sector'!$L$64)^AW15)</f>
        <v>2741055.5741211101</v>
      </c>
      <c r="AX117" s="382">
        <f>(AX76*AX29)/((1+'Customer Sector'!$L$64)^AX15)</f>
        <v>2504006.5432651038</v>
      </c>
      <c r="AY117" s="382">
        <f>(AY76*AY29)/((1+'Customer Sector'!$L$64)^AY15)</f>
        <v>2289407.4086200465</v>
      </c>
      <c r="AZ117" s="382">
        <f>(AZ76*AZ29)/((1+'Customer Sector'!$L$64)^AZ15)</f>
        <v>2095002.2039309377</v>
      </c>
      <c r="BA117" s="382">
        <f>(BA76*BA29)/((1+'Customer Sector'!$L$64)^BA15)</f>
        <v>1918769.6000548243</v>
      </c>
      <c r="BB117" s="382">
        <f>(BB76*BB29)/((1+'Customer Sector'!$L$64)^BB15)</f>
        <v>1758898.0406115425</v>
      </c>
      <c r="BC117" s="382">
        <f>(BC76*BC29)/((1+'Customer Sector'!$L$64)^BC15)</f>
        <v>1481450.4686485354</v>
      </c>
      <c r="BD117" s="382">
        <f>(BD76*BD29)/((1+'Customer Sector'!$L$64)^BD15)</f>
        <v>1233633.1866356926</v>
      </c>
      <c r="BE117" s="382">
        <f>(BE76*BE29)/((1+'Customer Sector'!$L$64)^BE15)</f>
        <v>1012263.7594997887</v>
      </c>
      <c r="BF117" s="382">
        <f>(BF76*BF29)/((1+'Customer Sector'!$L$64)^BF15)</f>
        <v>814506.7087734571</v>
      </c>
      <c r="BG117" s="382">
        <f>(BG76*BG29)/((1+'Customer Sector'!$L$64)^BG15)</f>
        <v>637835.51704796869</v>
      </c>
      <c r="BH117" s="382">
        <f>(BH76*BH29)/((1+'Customer Sector'!$L$64)^BH15)</f>
        <v>479998.7901653095</v>
      </c>
      <c r="BI117" s="382">
        <f>(BI76*BI29)/((1+'Customer Sector'!$L$64)^BI15)</f>
        <v>338990.12327167473</v>
      </c>
      <c r="BJ117" s="382">
        <f>(BJ76*BJ29)/((1+'Customer Sector'!$L$64)^BJ15)</f>
        <v>213021.2662749718</v>
      </c>
      <c r="BK117" s="382">
        <f>(BK76*BK29)/((1+'Customer Sector'!$L$64)^BK15)</f>
        <v>100498.22830010184</v>
      </c>
      <c r="BL117" s="383">
        <f>(BL76*BL29)/((1+'Customer Sector'!$L$64)^BL15)</f>
        <v>0</v>
      </c>
    </row>
    <row r="118" spans="2:64" x14ac:dyDescent="0.25">
      <c r="B118" s="18"/>
      <c r="C118" s="378"/>
      <c r="D118" s="123"/>
      <c r="E118" s="123" t="s">
        <v>318</v>
      </c>
      <c r="F118" s="12" t="s">
        <v>19</v>
      </c>
      <c r="G118" s="382">
        <v>0</v>
      </c>
      <c r="H118" s="382">
        <v>0</v>
      </c>
      <c r="I118" s="382">
        <v>0</v>
      </c>
      <c r="J118" s="382">
        <v>0</v>
      </c>
      <c r="K118" s="382">
        <v>0</v>
      </c>
      <c r="L118" s="382">
        <v>0</v>
      </c>
      <c r="M118" s="382">
        <v>0</v>
      </c>
      <c r="N118" s="382">
        <v>0</v>
      </c>
      <c r="O118" s="382">
        <v>0</v>
      </c>
      <c r="P118" s="382">
        <v>0</v>
      </c>
      <c r="Q118" s="382">
        <v>0</v>
      </c>
      <c r="R118" s="382">
        <v>0</v>
      </c>
      <c r="S118" s="382">
        <v>0</v>
      </c>
      <c r="T118" s="382">
        <v>0</v>
      </c>
      <c r="U118" s="382">
        <v>0</v>
      </c>
      <c r="V118" s="382">
        <v>0</v>
      </c>
      <c r="W118" s="382">
        <v>0</v>
      </c>
      <c r="X118" s="382">
        <v>0</v>
      </c>
      <c r="Y118" s="382">
        <v>0</v>
      </c>
      <c r="Z118" s="382">
        <v>0</v>
      </c>
      <c r="AA118" s="382">
        <v>0</v>
      </c>
      <c r="AB118" s="382">
        <v>0</v>
      </c>
      <c r="AC118" s="382">
        <v>0</v>
      </c>
      <c r="AD118" s="382">
        <v>0</v>
      </c>
      <c r="AE118" s="382">
        <v>0</v>
      </c>
      <c r="AF118" s="383">
        <v>0</v>
      </c>
      <c r="AH118" s="18"/>
      <c r="AI118" s="378"/>
      <c r="AJ118" s="123"/>
      <c r="AK118" s="123" t="s">
        <v>318</v>
      </c>
      <c r="AL118" s="12" t="s">
        <v>19</v>
      </c>
      <c r="AM118" s="382">
        <v>0</v>
      </c>
      <c r="AN118" s="382">
        <f>SUMPRODUCT(AN77:$BL77,AN29:$BL29,1/((1+'Customer Sector'!$L$64)^AN15:$BL15))</f>
        <v>4416260.5771954497</v>
      </c>
      <c r="AO118" s="382">
        <f>SUMPRODUCT(AO78:$BL78,AO29:$BL29,1/((1+'Customer Sector'!$L$64)^AO15:$BL15))</f>
        <v>4197107.6326057296</v>
      </c>
      <c r="AP118" s="382">
        <f>SUMPRODUCT(AP79:$BL79,AP29:$BL29,1/((1+'Customer Sector'!$L$64)^AP15:$BL15))</f>
        <v>3992067.4455459216</v>
      </c>
      <c r="AQ118" s="382">
        <f>SUMPRODUCT(AQ80:$BL80,AQ29:$BL29,1/((1+'Customer Sector'!$L$64)^AQ15:$BL15))</f>
        <v>3800175.5160534577</v>
      </c>
      <c r="AR118" s="382">
        <f>SUMPRODUCT(AR81:$BL81,AR29:$BL29,1/((1+'Customer Sector'!$L$64)^AR15:$BL15))</f>
        <v>3620534.0715168826</v>
      </c>
      <c r="AS118" s="382">
        <f>SUMPRODUCT(AS82:$BL82,AS29:$BL29,1/((1+'Customer Sector'!$L$64)^AS15:$BL15))</f>
        <v>3452307.437423714</v>
      </c>
      <c r="AT118" s="382">
        <f>SUMPRODUCT(AT83:$BL83,AT29:$BL29,1/((1+'Customer Sector'!$L$64)^AT15:$BL15))</f>
        <v>3294717.7293610931</v>
      </c>
      <c r="AU118" s="382">
        <f>SUMPRODUCT(AU84:$BL84,AU29:$BL29,1/((1+'Customer Sector'!$L$64)^AU15:$BL15))</f>
        <v>3147040.8439849387</v>
      </c>
      <c r="AV118" s="382">
        <f>SUMPRODUCT(AV85:$BL85,AV29:$BL29,1/((1+'Customer Sector'!$L$64)^AV15:$BL15))</f>
        <v>3008602.7282190849</v>
      </c>
      <c r="AW118" s="382">
        <f>SUMPRODUCT(AW86:$BL86,AW29:$BL29,1/((1+'Customer Sector'!$L$64)^AW15:$BL15))</f>
        <v>2878775.9073844291</v>
      </c>
      <c r="AX118" s="382">
        <v>0</v>
      </c>
      <c r="AY118" s="382">
        <v>0</v>
      </c>
      <c r="AZ118" s="382">
        <v>0</v>
      </c>
      <c r="BA118" s="382">
        <v>0</v>
      </c>
      <c r="BB118" s="382">
        <v>0</v>
      </c>
      <c r="BC118" s="382">
        <v>0</v>
      </c>
      <c r="BD118" s="382">
        <v>0</v>
      </c>
      <c r="BE118" s="382">
        <v>0</v>
      </c>
      <c r="BF118" s="382">
        <v>0</v>
      </c>
      <c r="BG118" s="382">
        <v>0</v>
      </c>
      <c r="BH118" s="382">
        <v>0</v>
      </c>
      <c r="BI118" s="382">
        <v>0</v>
      </c>
      <c r="BJ118" s="382">
        <v>0</v>
      </c>
      <c r="BK118" s="382">
        <v>0</v>
      </c>
      <c r="BL118" s="383">
        <v>0</v>
      </c>
    </row>
    <row r="119" spans="2:64" x14ac:dyDescent="0.25">
      <c r="B119" s="18"/>
      <c r="C119" s="378"/>
      <c r="D119" s="378" t="s">
        <v>301</v>
      </c>
      <c r="E119" s="378"/>
      <c r="F119" s="52" t="s">
        <v>19</v>
      </c>
      <c r="G119" s="380">
        <f>(G58*G19*-1)/((1+'Customer Sector'!$F$64)^G15)</f>
        <v>0</v>
      </c>
      <c r="H119" s="380">
        <f>(H58*H19*-1)/((1+'Customer Sector'!$F$64)^H15)</f>
        <v>5287855.383928352</v>
      </c>
      <c r="I119" s="380">
        <f>(I58*I19*-1)/((1+'Customer Sector'!$F$64)^I15)</f>
        <v>5537336.8784725796</v>
      </c>
      <c r="J119" s="380">
        <f>(J58*J19*-1)/((1+'Customer Sector'!$F$64)^J15)</f>
        <v>5801477.729260169</v>
      </c>
      <c r="K119" s="380">
        <f>(K58*K19*-1)/((1+'Customer Sector'!$F$64)^K15)</f>
        <v>6081357.6372485869</v>
      </c>
      <c r="L119" s="380">
        <f>(L58*L19*-1)/((1+'Customer Sector'!$F$64)^L15)</f>
        <v>6378154.1991167516</v>
      </c>
      <c r="M119" s="380">
        <f>(M58*M19*-1)/((1+'Customer Sector'!$F$64)^M15)</f>
        <v>6693154.1344058067</v>
      </c>
      <c r="N119" s="380">
        <f>(N58*N19*-1)/((1+'Customer Sector'!$F$64)^N15)</f>
        <v>7027766.1069122925</v>
      </c>
      <c r="O119" s="380">
        <f>(O58*O19*-1)/((1+'Customer Sector'!$F$64)^O15)</f>
        <v>7383535.4117847756</v>
      </c>
      <c r="P119" s="380">
        <f>(P58*P19*-1)/((1+'Customer Sector'!$F$64)^P15)</f>
        <v>7762160.8539080545</v>
      </c>
      <c r="Q119" s="380">
        <f>(Q58*Q19*-1)/((1+'Customer Sector'!$F$64)^Q15)</f>
        <v>8165514.2097270368</v>
      </c>
      <c r="R119" s="380">
        <f>(R58*R19*-1)/((1+'Customer Sector'!$F$64)^R15)</f>
        <v>1990601.2933260424</v>
      </c>
      <c r="S119" s="380">
        <f>(S58*S19*-1)/((1+'Customer Sector'!$F$64)^S15)</f>
        <v>1991132.3061922072</v>
      </c>
      <c r="T119" s="380">
        <f>(T58*T19*-1)/((1+'Customer Sector'!$F$64)^T15)</f>
        <v>1991663.4607112452</v>
      </c>
      <c r="U119" s="380">
        <f>(U58*U19*-1)/((1+'Customer Sector'!$F$64)^U15)</f>
        <v>1992194.7569217032</v>
      </c>
      <c r="V119" s="380">
        <f>(V58*V19*-1)/((1+'Customer Sector'!$F$64)^V15)</f>
        <v>1992726.1948602514</v>
      </c>
      <c r="W119" s="380">
        <f>(W58*W19*-1)/((1+'Customer Sector'!$F$64)^W15)</f>
        <v>1993257.774565039</v>
      </c>
      <c r="X119" s="380">
        <f>(X58*X19*-1)/((1+'Customer Sector'!$F$64)^X15)</f>
        <v>1993789.4960743664</v>
      </c>
      <c r="Y119" s="380">
        <f>(Y58*Y19*-1)/((1+'Customer Sector'!$F$64)^Y15)</f>
        <v>1994321.3594254798</v>
      </c>
      <c r="Z119" s="380">
        <f>(Z58*Z19*-1)/((1+'Customer Sector'!$F$64)^Z15)</f>
        <v>1994853.3646566677</v>
      </c>
      <c r="AA119" s="380">
        <f>(AA58*AA19*-1)/((1+'Customer Sector'!$F$64)^AA15)</f>
        <v>1995385.5118057129</v>
      </c>
      <c r="AB119" s="380">
        <f>(AB58*AB19*-1)/((1+'Customer Sector'!$F$64)^AB15)</f>
        <v>1995917.8009102552</v>
      </c>
      <c r="AC119" s="380">
        <f>(AC58*AC19*-1)/((1+'Customer Sector'!$F$64)^AC15)</f>
        <v>1996450.2320078062</v>
      </c>
      <c r="AD119" s="380">
        <f>(AD58*AD19*-1)/((1+'Customer Sector'!$F$64)^AD15)</f>
        <v>1996982.8051372501</v>
      </c>
      <c r="AE119" s="380">
        <f>(AE58*AE19*-1)/((1+'Customer Sector'!$F$64)^AE15)</f>
        <v>1997515.5203354603</v>
      </c>
      <c r="AF119" s="381">
        <f>(AF58*AF19*-1)/((1+'Customer Sector'!$F$64)^AF15)</f>
        <v>1998048.3776410867</v>
      </c>
      <c r="AH119" s="18"/>
      <c r="AI119" s="378"/>
      <c r="AJ119" s="378" t="s">
        <v>301</v>
      </c>
      <c r="AK119" s="378"/>
      <c r="AL119" s="52" t="s">
        <v>19</v>
      </c>
      <c r="AM119" s="380">
        <f>(AM58*AM19*-1)/((1+'Customer Sector'!$F$64)^AM15)</f>
        <v>0</v>
      </c>
      <c r="AN119" s="380">
        <f>(AN58*AN19*-1)/((1+'Customer Sector'!$L$64)^AN15)</f>
        <v>11341797.512804197</v>
      </c>
      <c r="AO119" s="380">
        <f>(AO58*AO19*-1)/((1+'Customer Sector'!$F$64)^AO15)</f>
        <v>11825113.615902487</v>
      </c>
      <c r="AP119" s="380">
        <f>(AP58*AP19*-1)/((1+'Customer Sector'!$F$64)^AP15)</f>
        <v>12327412.767860083</v>
      </c>
      <c r="AQ119" s="380">
        <f>(AQ58*AQ19*-1)/((1+'Customer Sector'!$F$64)^AQ15)</f>
        <v>12853872.510496221</v>
      </c>
      <c r="AR119" s="380">
        <f>(AR58*AR19*-1)/((1+'Customer Sector'!$F$64)^AR15)</f>
        <v>13405762.273495963</v>
      </c>
      <c r="AS119" s="380">
        <f>(AS58*AS19*-1)/((1+'Customer Sector'!$F$64)^AS15)</f>
        <v>13984417.673867833</v>
      </c>
      <c r="AT119" s="380">
        <f>(AT58*AT19*-1)/((1+'Customer Sector'!$F$64)^AT15)</f>
        <v>14591243.967524147</v>
      </c>
      <c r="AU119" s="380">
        <f>(AU58*AU19*-1)/((1+'Customer Sector'!$F$64)^AU15)</f>
        <v>15227719.680895759</v>
      </c>
      <c r="AV119" s="380">
        <f>(AV58*AV19*-1)/((1+'Customer Sector'!$F$64)^AV15)</f>
        <v>15895400.431976344</v>
      </c>
      <c r="AW119" s="380">
        <f>(AW58*AW19*-1)/((1+'Customer Sector'!$F$64)^AW15)</f>
        <v>16595922.950668959</v>
      </c>
      <c r="AX119" s="380">
        <f>(AX58*AX19*-1)/((1+'Customer Sector'!$F$64)^AX15)</f>
        <v>4036203.1643022108</v>
      </c>
      <c r="AY119" s="380">
        <f>(AY58*AY19*-1)/((1+'Customer Sector'!$F$64)^AY15)</f>
        <v>4027724.1700094361</v>
      </c>
      <c r="AZ119" s="380">
        <f>(AZ58*AZ19*-1)/((1+'Customer Sector'!$F$64)^AZ15)</f>
        <v>4019262.9878386403</v>
      </c>
      <c r="BA119" s="380">
        <f>(BA58*BA19*-1)/((1+'Customer Sector'!$F$64)^BA15)</f>
        <v>4010819.5803728015</v>
      </c>
      <c r="BB119" s="380">
        <f>(BB58*BB19*-1)/((1+'Customer Sector'!$F$64)^BB15)</f>
        <v>4002393.9102696995</v>
      </c>
      <c r="BC119" s="380">
        <f>(BC58*BC19*-1)/((1+'Customer Sector'!$F$64)^BC15)</f>
        <v>3993985.9402685221</v>
      </c>
      <c r="BD119" s="380">
        <f>(BD58*BD19*-1)/((1+'Customer Sector'!$F$64)^BD15)</f>
        <v>3985595.6331870086</v>
      </c>
      <c r="BE119" s="380">
        <f>(BE58*BE19*-1)/((1+'Customer Sector'!$F$64)^BE15)</f>
        <v>3977222.9519188758</v>
      </c>
      <c r="BF119" s="380">
        <f>(BF58*BF19*-1)/((1+'Customer Sector'!$F$64)^BF15)</f>
        <v>3968867.8594378578</v>
      </c>
      <c r="BG119" s="380">
        <f>(BG58*BG19*-1)/((1+'Customer Sector'!$F$64)^BG15)</f>
        <v>3960530.3187944372</v>
      </c>
      <c r="BH119" s="380">
        <f>(BH58*BH19*-1)/((1+'Customer Sector'!$F$64)^BH15)</f>
        <v>3952210.2931164163</v>
      </c>
      <c r="BI119" s="380">
        <f>(BI58*BI19*-1)/((1+'Customer Sector'!$F$64)^BI15)</f>
        <v>3943907.7456087884</v>
      </c>
      <c r="BJ119" s="380">
        <f>(BJ58*BJ19*-1)/((1+'Customer Sector'!$F$64)^BJ15)</f>
        <v>3935622.6395565304</v>
      </c>
      <c r="BK119" s="380">
        <f>(BK58*BK19*-1)/((1+'Customer Sector'!$F$64)^BK15)</f>
        <v>3927354.9383177613</v>
      </c>
      <c r="BL119" s="381">
        <f>(BL58*BL19*-1)/((1+'Customer Sector'!$F$64)^BL15)</f>
        <v>3919104.6053310554</v>
      </c>
    </row>
    <row r="120" spans="2:64" x14ac:dyDescent="0.25">
      <c r="B120" s="18"/>
      <c r="C120" s="378"/>
      <c r="D120" s="378" t="s">
        <v>311</v>
      </c>
      <c r="E120" s="378"/>
      <c r="F120" s="52" t="s">
        <v>19</v>
      </c>
      <c r="G120" s="380">
        <f>('Utility Calc'!G112)/((1+'Customer Sector'!$F$64)^G15)</f>
        <v>0</v>
      </c>
      <c r="H120" s="380">
        <f>('Utility Calc'!H112)/((1+'Customer Sector'!$F$64)^H15)</f>
        <v>691284.15080644342</v>
      </c>
      <c r="I120" s="380">
        <f ca="1">('Utility Calc'!I112)/((1+'Customer Sector'!$F$64)^I15)</f>
        <v>599661.2052754797</v>
      </c>
      <c r="J120" s="380">
        <f ca="1">('Utility Calc'!J112)/((1+'Customer Sector'!$F$64)^J15)</f>
        <v>516704.04862466216</v>
      </c>
      <c r="K120" s="380">
        <f ca="1">('Utility Calc'!K112)/((1+'Customer Sector'!$F$64)^K15)</f>
        <v>441680.95682890509</v>
      </c>
      <c r="L120" s="380">
        <f ca="1">('Utility Calc'!L112)/((1+'Customer Sector'!$F$64)^L15)</f>
        <v>373918.9031353005</v>
      </c>
      <c r="M120" s="380">
        <f ca="1">('Utility Calc'!M112)/((1+'Customer Sector'!$F$64)^M15)</f>
        <v>312798.96907960391</v>
      </c>
      <c r="N120" s="380">
        <f ca="1">('Utility Calc'!N112)/((1+'Customer Sector'!$F$64)^N15)</f>
        <v>257752.10954973006</v>
      </c>
      <c r="O120" s="380">
        <f ca="1">('Utility Calc'!O112)/((1+'Customer Sector'!$F$64)^O15)</f>
        <v>208255.24476061037</v>
      </c>
      <c r="P120" s="380">
        <f ca="1">('Utility Calc'!P112)/((1+'Customer Sector'!$F$64)^P15)</f>
        <v>163827.65407851897</v>
      </c>
      <c r="Q120" s="380">
        <f ca="1">('Utility Calc'!Q112)/((1+'Customer Sector'!$F$64)^Q15)</f>
        <v>124027.64854844904</v>
      </c>
      <c r="R120" s="380">
        <f>('Utility Calc'!R112)/((1+'Customer Sector'!$F$64)^R15)</f>
        <v>0</v>
      </c>
      <c r="S120" s="380">
        <f>('Utility Calc'!S112)/((1+'Customer Sector'!$F$64)^S15)</f>
        <v>0</v>
      </c>
      <c r="T120" s="380">
        <f>('Utility Calc'!T112)/((1+'Customer Sector'!$F$64)^T15)</f>
        <v>0</v>
      </c>
      <c r="U120" s="380">
        <f>('Utility Calc'!U112)/((1+'Customer Sector'!$F$64)^U15)</f>
        <v>0</v>
      </c>
      <c r="V120" s="380">
        <f>('Utility Calc'!V112)/((1+'Customer Sector'!$F$64)^V15)</f>
        <v>0</v>
      </c>
      <c r="W120" s="380">
        <f>('Utility Calc'!W112)/((1+'Customer Sector'!$F$64)^W15)</f>
        <v>0</v>
      </c>
      <c r="X120" s="380">
        <f>('Utility Calc'!X112)/((1+'Customer Sector'!$F$64)^X15)</f>
        <v>0</v>
      </c>
      <c r="Y120" s="380">
        <f>('Utility Calc'!Y112)/((1+'Customer Sector'!$F$64)^Y15)</f>
        <v>0</v>
      </c>
      <c r="Z120" s="380">
        <f>('Utility Calc'!Z112)/((1+'Customer Sector'!$F$64)^Z15)</f>
        <v>0</v>
      </c>
      <c r="AA120" s="380">
        <f>('Utility Calc'!AA112)/((1+'Customer Sector'!$F$64)^AA15)</f>
        <v>0</v>
      </c>
      <c r="AB120" s="380">
        <f>('Utility Calc'!AB112)/((1+'Customer Sector'!$F$64)^AB15)</f>
        <v>0</v>
      </c>
      <c r="AC120" s="380">
        <f>('Utility Calc'!AC112)/((1+'Customer Sector'!$F$64)^AC15)</f>
        <v>0</v>
      </c>
      <c r="AD120" s="380">
        <f>('Utility Calc'!AD112)/((1+'Customer Sector'!$F$64)^AD15)</f>
        <v>0</v>
      </c>
      <c r="AE120" s="380">
        <f>('Utility Calc'!AE112)/((1+'Customer Sector'!$F$64)^AE15)</f>
        <v>0</v>
      </c>
      <c r="AF120" s="380">
        <f>('Utility Calc'!AF112)/((1+'Customer Sector'!$F$64)^AF15)</f>
        <v>0</v>
      </c>
      <c r="AH120" s="18"/>
      <c r="AI120" s="378"/>
      <c r="AJ120" s="378" t="s">
        <v>311</v>
      </c>
      <c r="AK120" s="378"/>
      <c r="AL120" s="52" t="s">
        <v>19</v>
      </c>
      <c r="AM120" s="380">
        <f>('Utility Calc'!G113)/((1+'Customer Sector'!$F$64)^AM15)</f>
        <v>0</v>
      </c>
      <c r="AN120" s="380">
        <f>('Utility Calc'!H113)/((1+'Customer Sector'!$F$64)^AN15)</f>
        <v>10906800.546150234</v>
      </c>
      <c r="AO120" s="380">
        <f>('Utility Calc'!I113)/((1+'Customer Sector'!$F$64)^AO15)</f>
        <v>10446973.557238005</v>
      </c>
      <c r="AP120" s="380">
        <f>('Utility Calc'!J113)/((1+'Customer Sector'!$F$64)^AP15)</f>
        <v>10010583.886787552</v>
      </c>
      <c r="AQ120" s="380">
        <f>('Utility Calc'!K113)/((1+'Customer Sector'!$F$64)^AQ15)</f>
        <v>9596289.0882157348</v>
      </c>
      <c r="AR120" s="380">
        <f>('Utility Calc'!L113)/((1+'Customer Sector'!$F$64)^AR15)</f>
        <v>9202827.8959083222</v>
      </c>
      <c r="AS120" s="380">
        <f>('Utility Calc'!M113)/((1+'Customer Sector'!$F$64)^AS15)</f>
        <v>8829015.2133709416</v>
      </c>
      <c r="AT120" s="380">
        <f>('Utility Calc'!N113)/((1+'Customer Sector'!$F$64)^AT15)</f>
        <v>8473737.4127377439</v>
      </c>
      <c r="AU120" s="380">
        <f>('Utility Calc'!O113)/((1+'Customer Sector'!$F$64)^AU15)</f>
        <v>8135947.926278743</v>
      </c>
      <c r="AV120" s="380">
        <f>('Utility Calc'!P113)/((1+'Customer Sector'!$F$64)^AV15)</f>
        <v>7814663.1117495373</v>
      </c>
      <c r="AW120" s="380">
        <f>('Utility Calc'!Q113)/((1+'Customer Sector'!$F$64)^AW15)</f>
        <v>7508958.3745548502</v>
      </c>
      <c r="AX120" s="380">
        <f>('Utility Calc'!R113)/((1+'Customer Sector'!$F$64)^AX15)</f>
        <v>0</v>
      </c>
      <c r="AY120" s="380">
        <f>('Utility Calc'!S113)/((1+'Customer Sector'!$F$64)^AY15)</f>
        <v>0</v>
      </c>
      <c r="AZ120" s="380">
        <f>('Utility Calc'!T113)/((1+'Customer Sector'!$F$64)^AZ15)</f>
        <v>0</v>
      </c>
      <c r="BA120" s="380">
        <f>('Utility Calc'!U113)/((1+'Customer Sector'!$F$64)^BA15)</f>
        <v>0</v>
      </c>
      <c r="BB120" s="380">
        <f>('Utility Calc'!V113)/((1+'Customer Sector'!$F$64)^BB15)</f>
        <v>0</v>
      </c>
      <c r="BC120" s="380">
        <f>('Utility Calc'!W113)/((1+'Customer Sector'!$F$64)^BC15)</f>
        <v>0</v>
      </c>
      <c r="BD120" s="380">
        <f>('Utility Calc'!X113)/((1+'Customer Sector'!$F$64)^BD15)</f>
        <v>0</v>
      </c>
      <c r="BE120" s="380">
        <f>('Utility Calc'!Y113)/((1+'Customer Sector'!$F$64)^BE15)</f>
        <v>0</v>
      </c>
      <c r="BF120" s="380">
        <f>('Utility Calc'!Z113)/((1+'Customer Sector'!$F$64)^BF15)</f>
        <v>0</v>
      </c>
      <c r="BG120" s="380">
        <f>('Utility Calc'!AA113)/((1+'Customer Sector'!$F$64)^BG15)</f>
        <v>0</v>
      </c>
      <c r="BH120" s="380">
        <f>('Utility Calc'!AB113)/((1+'Customer Sector'!$F$64)^BH15)</f>
        <v>0</v>
      </c>
      <c r="BI120" s="380">
        <f>('Utility Calc'!AC113)/((1+'Customer Sector'!$F$64)^BI15)</f>
        <v>0</v>
      </c>
      <c r="BJ120" s="380">
        <f>('Utility Calc'!AD113)/((1+'Customer Sector'!$F$64)^BJ15)</f>
        <v>0</v>
      </c>
      <c r="BK120" s="380">
        <f>('Utility Calc'!AE113)/((1+'Customer Sector'!$F$64)^BK15)</f>
        <v>0</v>
      </c>
      <c r="BL120" s="380">
        <f>('Utility Calc'!AF113)/((1+'Customer Sector'!$F$64)^BL15)</f>
        <v>0</v>
      </c>
    </row>
    <row r="121" spans="2:64" x14ac:dyDescent="0.25">
      <c r="B121" s="122" t="s">
        <v>304</v>
      </c>
      <c r="C121" s="123"/>
      <c r="D121" s="123"/>
      <c r="E121" s="123"/>
      <c r="F121" s="12" t="s">
        <v>6</v>
      </c>
      <c r="G121" s="304">
        <f>SUM(G122:AF122)</f>
        <v>2614728460.6573858</v>
      </c>
      <c r="H121" s="477"/>
      <c r="I121" s="477"/>
      <c r="J121" s="477"/>
      <c r="K121" s="477"/>
      <c r="L121" s="477"/>
      <c r="M121" s="477"/>
      <c r="N121" s="477"/>
      <c r="O121" s="477"/>
      <c r="P121" s="477"/>
      <c r="Q121" s="477"/>
      <c r="R121" s="477"/>
      <c r="S121" s="477"/>
      <c r="T121" s="477"/>
      <c r="U121" s="477"/>
      <c r="V121" s="477"/>
      <c r="W121" s="477"/>
      <c r="X121" s="477"/>
      <c r="Y121" s="477"/>
      <c r="Z121" s="477"/>
      <c r="AA121" s="477"/>
      <c r="AB121" s="477"/>
      <c r="AC121" s="477"/>
      <c r="AD121" s="477"/>
      <c r="AE121" s="477"/>
      <c r="AF121" s="478"/>
      <c r="AH121" s="122" t="s">
        <v>304</v>
      </c>
      <c r="AI121" s="123"/>
      <c r="AJ121" s="123"/>
      <c r="AK121" s="123"/>
      <c r="AL121" s="12" t="s">
        <v>6</v>
      </c>
      <c r="AM121" s="304">
        <f>SUM(AM122:BL122)</f>
        <v>16690937336.532328</v>
      </c>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297"/>
    </row>
    <row r="122" spans="2:64" x14ac:dyDescent="0.25">
      <c r="B122" s="122"/>
      <c r="C122" s="378" t="s">
        <v>303</v>
      </c>
      <c r="D122" s="378"/>
      <c r="E122" s="378"/>
      <c r="F122" s="52" t="s">
        <v>19</v>
      </c>
      <c r="G122" s="384">
        <f>G64/((1+'Customer Sector'!$F$64)^G15)</f>
        <v>0</v>
      </c>
      <c r="H122" s="384">
        <f>H64/((1+'Customer Sector'!$F$64)^H15)</f>
        <v>53574306.562852547</v>
      </c>
      <c r="I122" s="384">
        <f>I64/((1+'Customer Sector'!$F$64)^I15)</f>
        <v>98247687.791435659</v>
      </c>
      <c r="J122" s="384">
        <f>J64/((1+'Customer Sector'!$F$64)^J15)</f>
        <v>135145957.93709543</v>
      </c>
      <c r="K122" s="384">
        <f>K64/((1+'Customer Sector'!$F$64)^K15)</f>
        <v>165266534.66626444</v>
      </c>
      <c r="L122" s="384">
        <f>L64/((1+'Customer Sector'!$F$64)^L15)</f>
        <v>189492353.10869512</v>
      </c>
      <c r="M122" s="384">
        <f>M64/((1+'Customer Sector'!$F$64)^M15)</f>
        <v>208604314.20584401</v>
      </c>
      <c r="N122" s="384">
        <f>N64/((1+'Customer Sector'!$F$64)^N15)</f>
        <v>223292419.19375265</v>
      </c>
      <c r="O122" s="384">
        <f>O64/((1+'Customer Sector'!$F$64)^O15)</f>
        <v>234165726.48623335</v>
      </c>
      <c r="P122" s="384">
        <f>P64/((1+'Customer Sector'!$F$64)^P15)</f>
        <v>241761253.24178338</v>
      </c>
      <c r="Q122" s="384">
        <f>Q64/((1+'Customer Sector'!$F$64)^Q15)</f>
        <v>246551931.34046522</v>
      </c>
      <c r="R122" s="384">
        <f>R64/((1+'Customer Sector'!$F$64)^R15)</f>
        <v>203187594.20976952</v>
      </c>
      <c r="S122" s="384">
        <f>S64/((1+'Customer Sector'!$F$64)^S15)</f>
        <v>165403353.30550244</v>
      </c>
      <c r="T122" s="384">
        <f>T64/((1+'Customer Sector'!$F$64)^T15)</f>
        <v>132557849.14326112</v>
      </c>
      <c r="U122" s="384">
        <f>U64/((1+'Customer Sector'!$F$64)^U15)</f>
        <v>104079511.59628084</v>
      </c>
      <c r="V122" s="384">
        <f>V64/((1+'Customer Sector'!$F$64)^V15)</f>
        <v>79459190.883973762</v>
      </c>
      <c r="W122" s="384">
        <f>W64/((1+'Customer Sector'!$F$64)^W15)</f>
        <v>58243553.019202389</v>
      </c>
      <c r="X122" s="384">
        <f>X64/((1+'Customer Sector'!$F$64)^X15)</f>
        <v>40029161.260154456</v>
      </c>
      <c r="Y122" s="384">
        <f>Y64/((1+'Customer Sector'!$F$64)^Y15)</f>
        <v>24457173.110177655</v>
      </c>
      <c r="Z122" s="384">
        <f>Z64/((1+'Customer Sector'!$F$64)^Z15)</f>
        <v>11208589.59464219</v>
      </c>
      <c r="AA122" s="384">
        <f>AA64/((1+'Customer Sector'!$F$64)^AA15)</f>
        <v>0</v>
      </c>
      <c r="AB122" s="384">
        <f>AB64/((1+'Customer Sector'!$F$64)^AB15)</f>
        <v>0</v>
      </c>
      <c r="AC122" s="384">
        <f>AC64/((1+'Customer Sector'!$F$64)^AC15)</f>
        <v>0</v>
      </c>
      <c r="AD122" s="384">
        <f>AD64/((1+'Customer Sector'!$F$64)^AD15)</f>
        <v>0</v>
      </c>
      <c r="AE122" s="384">
        <f>AE64/((1+'Customer Sector'!$F$64)^AE15)</f>
        <v>0</v>
      </c>
      <c r="AF122" s="385">
        <f>AF64/((1+'Customer Sector'!$F$64)^AF15)</f>
        <v>0</v>
      </c>
      <c r="AH122" s="122"/>
      <c r="AI122" s="378" t="s">
        <v>303</v>
      </c>
      <c r="AJ122" s="378"/>
      <c r="AK122" s="378"/>
      <c r="AL122" s="52" t="s">
        <v>19</v>
      </c>
      <c r="AM122" s="384">
        <f>AM64/((1+'Customer Sector'!$L$64)^AM15)</f>
        <v>0</v>
      </c>
      <c r="AN122" s="384">
        <f>AN64/((1+'Customer Sector'!$L$64)^AN15)</f>
        <v>223137962.96296296</v>
      </c>
      <c r="AO122" s="384">
        <f>AO64/((1+'Customer Sector'!$L$64)^AO15)</f>
        <v>421043523.58763832</v>
      </c>
      <c r="AP122" s="384">
        <f>AP64/((1+'Customer Sector'!$L$64)^AP15)</f>
        <v>596298564.73146331</v>
      </c>
      <c r="AQ122" s="384">
        <f>AQ64/((1+'Customer Sector'!$L$64)^AQ15)</f>
        <v>751223699.43993127</v>
      </c>
      <c r="AR122" s="384">
        <f>AR64/((1+'Customer Sector'!$L$64)^AR15)</f>
        <v>887904675.06180453</v>
      </c>
      <c r="AS122" s="384">
        <f>AS64/((1+'Customer Sector'!$L$64)^AS15)</f>
        <v>1008216109.3624644</v>
      </c>
      <c r="AT122" s="384">
        <f>AT64/((1+'Customer Sector'!$L$64)^AT15)</f>
        <v>1113842828.2184281</v>
      </c>
      <c r="AU122" s="384">
        <f>AU64/((1+'Customer Sector'!$L$64)^AU15)</f>
        <v>1206299047.2366338</v>
      </c>
      <c r="AV122" s="384">
        <f>AV64/((1+'Customer Sector'!$L$64)^AV15)</f>
        <v>1286945615.1550179</v>
      </c>
      <c r="AW122" s="384">
        <f>AW64/((1+'Customer Sector'!$L$64)^AW15)</f>
        <v>1357005514.8680604</v>
      </c>
      <c r="AX122" s="384">
        <f>AX64/((1+'Customer Sector'!$L$64)^AX15)</f>
        <v>1219889891.1075695</v>
      </c>
      <c r="AY122" s="384">
        <f>AY64/((1+'Customer Sector'!$L$64)^AY15)</f>
        <v>1096628812.5742264</v>
      </c>
      <c r="AZ122" s="384">
        <f>AZ64/((1+'Customer Sector'!$L$64)^AZ15)</f>
        <v>985822377.3590672</v>
      </c>
      <c r="BA122" s="384">
        <f>BA64/((1+'Customer Sector'!$L$64)^BA15)</f>
        <v>886212133.54824424</v>
      </c>
      <c r="BB122" s="384">
        <f>BB64/((1+'Customer Sector'!$L$64)^BB15)</f>
        <v>796666786.72082376</v>
      </c>
      <c r="BC122" s="384">
        <f>BC64/((1+'Customer Sector'!$L$64)^BC15)</f>
        <v>671019246.95971286</v>
      </c>
      <c r="BD122" s="384">
        <f>BD64/((1+'Customer Sector'!$L$64)^BD15)</f>
        <v>558610958.70012498</v>
      </c>
      <c r="BE122" s="384">
        <f>BE64/((1+'Customer Sector'!$L$64)^BE15)</f>
        <v>458097649.21759731</v>
      </c>
      <c r="BF122" s="384">
        <f>BF64/((1+'Customer Sector'!$L$64)^BF15)</f>
        <v>368270953.59877032</v>
      </c>
      <c r="BG122" s="384">
        <f>BG64/((1+'Customer Sector'!$L$64)^BG15)</f>
        <v>288044681.28907716</v>
      </c>
      <c r="BH122" s="384">
        <f>BH64/((1+'Customer Sector'!$L$64)^BH15)</f>
        <v>216442470.31818491</v>
      </c>
      <c r="BI122" s="384">
        <f>BI64/((1+'Customer Sector'!$L$64)^BI15)</f>
        <v>152586688.98821852</v>
      </c>
      <c r="BJ122" s="384">
        <f>BJ64/((1+'Customer Sector'!$L$64)^BJ15)</f>
        <v>95688458.977511168</v>
      </c>
      <c r="BK122" s="384">
        <f>BK64/((1+'Customer Sector'!$L$64)^BK15)</f>
        <v>45038686.548792936</v>
      </c>
      <c r="BL122" s="385">
        <f>BL64/((1+'Customer Sector'!$L$64)^BL15)</f>
        <v>0</v>
      </c>
    </row>
    <row r="123" spans="2:64" x14ac:dyDescent="0.25">
      <c r="B123" s="122"/>
      <c r="C123" s="378"/>
      <c r="D123" s="378" t="s">
        <v>307</v>
      </c>
      <c r="E123" s="378"/>
      <c r="F123" s="52" t="s">
        <v>19</v>
      </c>
      <c r="G123" s="384">
        <v>0</v>
      </c>
      <c r="H123" s="384">
        <f>SUMPRODUCT(H65:$AF65,1/((1+'Customer Sector'!$F$64)^H15:$AF15))</f>
        <v>347913666.4363265</v>
      </c>
      <c r="I123" s="384">
        <f>SUMPRODUCT(I66:$AF66,1/((1+'Customer Sector'!$F$64)^I15:$AF15))</f>
        <v>325155368.67000991</v>
      </c>
      <c r="J123" s="384">
        <f>SUMPRODUCT(J67:$AF67,1/((1+'Customer Sector'!$F$64)^J15:$AF15))</f>
        <v>303885773.89867926</v>
      </c>
      <c r="K123" s="384">
        <f>SUMPRODUCT(K68:$AF68,1/((1+'Customer Sector'!$F$64)^K15:$AF15))</f>
        <v>284007500.64723325</v>
      </c>
      <c r="L123" s="384">
        <f>SUMPRODUCT(L69:$AF69,1/((1+'Customer Sector'!$F$64)^L15:$AF15))</f>
        <v>265429537.51688859</v>
      </c>
      <c r="M123" s="384">
        <f>SUMPRODUCT(M70:$AF70,1/((1+'Customer Sector'!$F$64)^M15:$AF15))</f>
        <v>248066826.49532941</v>
      </c>
      <c r="N123" s="384">
        <f>SUMPRODUCT(N71:$AF71,1/((1+'Customer Sector'!$F$64)^N15:$AF15))</f>
        <v>231839873.52405503</v>
      </c>
      <c r="O123" s="384">
        <f>SUMPRODUCT(O72:$AF72,1/((1+'Customer Sector'!$F$64)^O15:$AF15))</f>
        <v>216674384.53993297</v>
      </c>
      <c r="P123" s="384">
        <f>SUMPRODUCT(P73:$AF73,1/((1+'Customer Sector'!$F$64)^P15:$AF15))</f>
        <v>202500925.32459727</v>
      </c>
      <c r="Q123" s="384">
        <f>SUMPRODUCT(Q74:$AF74,1/((1+'Customer Sector'!$F$64)^Q15:$AF15))</f>
        <v>189254603.60433424</v>
      </c>
      <c r="R123" s="386">
        <v>0</v>
      </c>
      <c r="S123" s="386">
        <v>0</v>
      </c>
      <c r="T123" s="386">
        <v>0</v>
      </c>
      <c r="U123" s="386">
        <v>0</v>
      </c>
      <c r="V123" s="386">
        <v>0</v>
      </c>
      <c r="W123" s="386">
        <v>0</v>
      </c>
      <c r="X123" s="386">
        <v>0</v>
      </c>
      <c r="Y123" s="386">
        <v>0</v>
      </c>
      <c r="Z123" s="386">
        <v>0</v>
      </c>
      <c r="AA123" s="386">
        <v>0</v>
      </c>
      <c r="AB123" s="386">
        <v>0</v>
      </c>
      <c r="AC123" s="386">
        <v>0</v>
      </c>
      <c r="AD123" s="386">
        <v>0</v>
      </c>
      <c r="AE123" s="386">
        <v>0</v>
      </c>
      <c r="AF123" s="387">
        <v>0</v>
      </c>
      <c r="AH123" s="122"/>
      <c r="AI123" s="378"/>
      <c r="AJ123" s="378" t="s">
        <v>307</v>
      </c>
      <c r="AK123" s="378"/>
      <c r="AL123" s="52" t="s">
        <v>19</v>
      </c>
      <c r="AM123" s="384">
        <v>0</v>
      </c>
      <c r="AN123" s="384">
        <f>SUMPRODUCT(AN65:$BL65,1/((1+'Customer Sector'!$L$64)^AN15:$BL15))</f>
        <v>1761509729.5121067</v>
      </c>
      <c r="AO123" s="384">
        <f>SUMPRODUCT(AO66:$BL66,1/((1+'Customer Sector'!$L$64)^AO15:$BL15))</f>
        <v>1740306371.656868</v>
      </c>
      <c r="AP123" s="384">
        <f>SUMPRODUCT(AP67:$BL67,1/((1+'Customer Sector'!$L$64)^AP15:$BL15))</f>
        <v>1719358239.4054427</v>
      </c>
      <c r="AQ123" s="384">
        <f>SUMPRODUCT(AQ68:$BL68,1/((1+'Customer Sector'!$L$64)^AQ15:$BL15))</f>
        <v>1698662260.5977848</v>
      </c>
      <c r="AR123" s="384">
        <f>SUMPRODUCT(AR69:$BL69,1/((1+'Customer Sector'!$L$64)^AR15:$BL15))</f>
        <v>1678215400.0535519</v>
      </c>
      <c r="AS123" s="384">
        <f>SUMPRODUCT(AS70:$BL70,1/((1+'Customer Sector'!$L$64)^AS15:$BL15))</f>
        <v>1658014659.1269805</v>
      </c>
      <c r="AT123" s="384">
        <f>SUMPRODUCT(AT71:$BL71,1/((1+'Customer Sector'!$L$64)^AT15:$BL15))</f>
        <v>1638057075.2671194</v>
      </c>
      <c r="AU123" s="384">
        <f>SUMPRODUCT(AU72:$BL72,1/((1+'Customer Sector'!$L$64)^AU15:$BL15))</f>
        <v>1618339721.5833485</v>
      </c>
      <c r="AV123" s="384">
        <f>SUMPRODUCT(AV73:$BL73,1/((1+'Customer Sector'!$L$64)^AV15:$BL15))</f>
        <v>1598859706.4161415</v>
      </c>
      <c r="AW123" s="384">
        <f>SUMPRODUCT(AW74:$BL74,1/((1+'Customer Sector'!$L$64)^AW15:$BL15))</f>
        <v>1579614172.9129837</v>
      </c>
      <c r="AX123" s="384">
        <v>0</v>
      </c>
      <c r="AY123" s="384">
        <v>0</v>
      </c>
      <c r="AZ123" s="384">
        <v>0</v>
      </c>
      <c r="BA123" s="384">
        <v>0</v>
      </c>
      <c r="BB123" s="384">
        <v>0</v>
      </c>
      <c r="BC123" s="384">
        <v>0</v>
      </c>
      <c r="BD123" s="384">
        <v>0</v>
      </c>
      <c r="BE123" s="384">
        <v>0</v>
      </c>
      <c r="BF123" s="384">
        <v>0</v>
      </c>
      <c r="BG123" s="384">
        <v>0</v>
      </c>
      <c r="BH123" s="384">
        <v>0</v>
      </c>
      <c r="BI123" s="384">
        <v>0</v>
      </c>
      <c r="BJ123" s="384">
        <v>0</v>
      </c>
      <c r="BK123" s="384">
        <v>0</v>
      </c>
      <c r="BL123" s="385">
        <v>0</v>
      </c>
    </row>
    <row r="124" spans="2:64" x14ac:dyDescent="0.25">
      <c r="B124" s="18" t="s">
        <v>305</v>
      </c>
      <c r="C124" s="19"/>
      <c r="D124" s="19"/>
      <c r="E124" s="19"/>
      <c r="F124" s="17" t="s">
        <v>8</v>
      </c>
      <c r="G124" s="301">
        <f>G112/G121</f>
        <v>5.250930352308792E-2</v>
      </c>
      <c r="H124" s="471"/>
      <c r="I124" s="471"/>
      <c r="J124" s="471"/>
      <c r="K124" s="471"/>
      <c r="L124" s="471"/>
      <c r="M124" s="471"/>
      <c r="N124" s="471"/>
      <c r="O124" s="471"/>
      <c r="P124" s="471"/>
      <c r="Q124" s="471"/>
      <c r="R124" s="471"/>
      <c r="S124" s="471"/>
      <c r="T124" s="471"/>
      <c r="U124" s="471"/>
      <c r="V124" s="471"/>
      <c r="W124" s="471"/>
      <c r="X124" s="471"/>
      <c r="Y124" s="471"/>
      <c r="Z124" s="471"/>
      <c r="AA124" s="471"/>
      <c r="AB124" s="471"/>
      <c r="AC124" s="471"/>
      <c r="AD124" s="471"/>
      <c r="AE124" s="471"/>
      <c r="AF124" s="472"/>
      <c r="AH124" s="18" t="s">
        <v>305</v>
      </c>
      <c r="AI124" s="19"/>
      <c r="AJ124" s="19"/>
      <c r="AK124" s="19"/>
      <c r="AL124" s="17" t="s">
        <v>8</v>
      </c>
      <c r="AM124" s="301">
        <f>AM112/AM121</f>
        <v>6.1544794613799672E-3</v>
      </c>
      <c r="AN124" s="300"/>
      <c r="AO124" s="300"/>
      <c r="AP124" s="300"/>
      <c r="AQ124" s="300"/>
      <c r="AR124" s="300"/>
      <c r="AS124" s="300"/>
      <c r="AT124" s="300"/>
      <c r="AU124" s="300"/>
      <c r="AV124" s="300"/>
      <c r="AW124" s="300"/>
      <c r="AX124" s="300"/>
      <c r="AY124" s="300"/>
      <c r="AZ124" s="300"/>
      <c r="BA124" s="300"/>
      <c r="BB124" s="300"/>
      <c r="BC124" s="300"/>
      <c r="BD124" s="300"/>
      <c r="BE124" s="300"/>
      <c r="BF124" s="300"/>
      <c r="BG124" s="300"/>
      <c r="BH124" s="300"/>
      <c r="BI124" s="300"/>
      <c r="BJ124" s="300"/>
      <c r="BK124" s="300"/>
      <c r="BL124" s="303"/>
    </row>
    <row r="125" spans="2:64" x14ac:dyDescent="0.25">
      <c r="B125" s="18"/>
      <c r="C125" s="19" t="s">
        <v>306</v>
      </c>
      <c r="D125" s="19"/>
      <c r="E125" s="19"/>
      <c r="F125" s="17" t="s">
        <v>19</v>
      </c>
      <c r="G125" s="301">
        <f>IF(G123=0,0,(G114-(G116+G118))/G123)</f>
        <v>0</v>
      </c>
      <c r="H125" s="301">
        <f>IF(H123=0,0,H114/H123)</f>
        <v>4.8268732640484036E-2</v>
      </c>
      <c r="I125" s="301">
        <f t="shared" ref="I125:Q125" si="104">IF(I123=0,0,I114/I123)</f>
        <v>4.9286994683603785E-2</v>
      </c>
      <c r="J125" s="301">
        <f t="shared" si="104"/>
        <v>5.0327031804719084E-2</v>
      </c>
      <c r="K125" s="301">
        <f t="shared" si="104"/>
        <v>5.1389315899305177E-2</v>
      </c>
      <c r="L125" s="301">
        <f t="shared" si="104"/>
        <v>5.247432922025818E-2</v>
      </c>
      <c r="M125" s="301">
        <f t="shared" si="104"/>
        <v>5.3582564607928949E-2</v>
      </c>
      <c r="N125" s="301">
        <f t="shared" si="104"/>
        <v>5.4714525725321067E-2</v>
      </c>
      <c r="O125" s="301">
        <f t="shared" si="104"/>
        <v>5.58707272985699E-2</v>
      </c>
      <c r="P125" s="301">
        <f t="shared" si="104"/>
        <v>5.7051695362822695E-2</v>
      </c>
      <c r="Q125" s="301">
        <f t="shared" si="104"/>
        <v>5.8257967513641908E-2</v>
      </c>
      <c r="R125" s="473"/>
      <c r="S125" s="473"/>
      <c r="T125" s="473"/>
      <c r="U125" s="473"/>
      <c r="V125" s="473"/>
      <c r="W125" s="473"/>
      <c r="X125" s="473"/>
      <c r="Y125" s="473"/>
      <c r="Z125" s="473"/>
      <c r="AA125" s="473"/>
      <c r="AB125" s="473"/>
      <c r="AC125" s="473"/>
      <c r="AD125" s="473"/>
      <c r="AE125" s="473"/>
      <c r="AF125" s="476"/>
      <c r="AH125" s="18"/>
      <c r="AI125" s="19" t="s">
        <v>306</v>
      </c>
      <c r="AJ125" s="19"/>
      <c r="AK125" s="19"/>
      <c r="AL125" s="17" t="s">
        <v>19</v>
      </c>
      <c r="AM125" s="301">
        <f>IF(AM123=0,0,(AM114-(AM116+AM118))/AM123)</f>
        <v>0</v>
      </c>
      <c r="AN125" s="301">
        <f>IF(AN123=0,0,AN114/AN123)</f>
        <v>7.180272258812701E-3</v>
      </c>
      <c r="AO125" s="301">
        <f t="shared" ref="AO125:BL125" si="105">IF(AO123=0,0,AO114/AO123)</f>
        <v>6.9245549712448626E-3</v>
      </c>
      <c r="AP125" s="301">
        <f t="shared" si="105"/>
        <v>6.6779447660833781E-3</v>
      </c>
      <c r="AQ125" s="301">
        <f t="shared" si="105"/>
        <v>6.4401173048732833E-3</v>
      </c>
      <c r="AR125" s="301">
        <f t="shared" si="105"/>
        <v>6.2107598001074132E-3</v>
      </c>
      <c r="AS125" s="301">
        <f t="shared" si="105"/>
        <v>5.9895706038524182E-3</v>
      </c>
      <c r="AT125" s="301">
        <f t="shared" si="105"/>
        <v>5.7762588110254302E-3</v>
      </c>
      <c r="AU125" s="301">
        <f t="shared" si="105"/>
        <v>5.5705438767995955E-3</v>
      </c>
      <c r="AV125" s="301">
        <f t="shared" si="105"/>
        <v>5.3721552476352231E-3</v>
      </c>
      <c r="AW125" s="301">
        <f t="shared" si="105"/>
        <v>5.1808320054514013E-3</v>
      </c>
      <c r="AX125" s="301">
        <f t="shared" si="105"/>
        <v>0</v>
      </c>
      <c r="AY125" s="301">
        <f t="shared" si="105"/>
        <v>0</v>
      </c>
      <c r="AZ125" s="301">
        <f t="shared" si="105"/>
        <v>0</v>
      </c>
      <c r="BA125" s="301">
        <f t="shared" si="105"/>
        <v>0</v>
      </c>
      <c r="BB125" s="301">
        <f t="shared" si="105"/>
        <v>0</v>
      </c>
      <c r="BC125" s="301">
        <f t="shared" si="105"/>
        <v>0</v>
      </c>
      <c r="BD125" s="301">
        <f t="shared" si="105"/>
        <v>0</v>
      </c>
      <c r="BE125" s="301">
        <f t="shared" si="105"/>
        <v>0</v>
      </c>
      <c r="BF125" s="301">
        <f t="shared" si="105"/>
        <v>0</v>
      </c>
      <c r="BG125" s="301">
        <f t="shared" si="105"/>
        <v>0</v>
      </c>
      <c r="BH125" s="301">
        <f t="shared" si="105"/>
        <v>0</v>
      </c>
      <c r="BI125" s="301">
        <f t="shared" si="105"/>
        <v>0</v>
      </c>
      <c r="BJ125" s="301">
        <f t="shared" si="105"/>
        <v>0</v>
      </c>
      <c r="BK125" s="301">
        <f t="shared" si="105"/>
        <v>0</v>
      </c>
      <c r="BL125" s="301">
        <f t="shared" si="105"/>
        <v>0</v>
      </c>
    </row>
    <row r="126" spans="2:64" x14ac:dyDescent="0.25">
      <c r="B126" s="18"/>
      <c r="C126" s="123" t="s">
        <v>309</v>
      </c>
      <c r="D126" s="123"/>
      <c r="E126" s="123"/>
      <c r="F126" s="12" t="s">
        <v>19</v>
      </c>
      <c r="G126" s="388">
        <f ca="1">(G112-SUM(G120:AF120))/G121</f>
        <v>5.1098101195118456E-2</v>
      </c>
      <c r="H126" s="471"/>
      <c r="I126" s="471"/>
      <c r="J126" s="471"/>
      <c r="K126" s="471"/>
      <c r="L126" s="471"/>
      <c r="M126" s="471"/>
      <c r="N126" s="471"/>
      <c r="O126" s="471"/>
      <c r="P126" s="471"/>
      <c r="Q126" s="471"/>
      <c r="R126" s="471"/>
      <c r="S126" s="471"/>
      <c r="T126" s="471"/>
      <c r="U126" s="471"/>
      <c r="V126" s="471"/>
      <c r="W126" s="471"/>
      <c r="X126" s="471"/>
      <c r="Y126" s="471"/>
      <c r="Z126" s="471"/>
      <c r="AA126" s="471"/>
      <c r="AB126" s="471"/>
      <c r="AC126" s="471"/>
      <c r="AD126" s="471"/>
      <c r="AE126" s="471"/>
      <c r="AF126" s="472"/>
      <c r="AH126" s="18"/>
      <c r="AI126" s="123" t="s">
        <v>309</v>
      </c>
      <c r="AJ126" s="123"/>
      <c r="AK126" s="123"/>
      <c r="AL126" s="12" t="s">
        <v>19</v>
      </c>
      <c r="AM126" s="388">
        <f>(AM112-SUM(AM120:BL120))/AM121</f>
        <v>7.0686467620084941E-4</v>
      </c>
      <c r="AN126" s="300"/>
      <c r="AO126" s="300"/>
      <c r="AP126" s="300"/>
      <c r="AQ126" s="300"/>
      <c r="AR126" s="300"/>
      <c r="AS126" s="300"/>
      <c r="AT126" s="300"/>
      <c r="AU126" s="300"/>
      <c r="AV126" s="300"/>
      <c r="AW126" s="300"/>
      <c r="AX126" s="300"/>
      <c r="AY126" s="300"/>
      <c r="AZ126" s="300"/>
      <c r="BA126" s="300"/>
      <c r="BB126" s="300"/>
      <c r="BC126" s="300"/>
      <c r="BD126" s="300"/>
      <c r="BE126" s="300"/>
      <c r="BF126" s="300"/>
      <c r="BG126" s="300"/>
      <c r="BH126" s="300"/>
      <c r="BI126" s="300"/>
      <c r="BJ126" s="300"/>
      <c r="BK126" s="300"/>
      <c r="BL126" s="303"/>
    </row>
    <row r="127" spans="2:64" x14ac:dyDescent="0.25">
      <c r="B127" s="18"/>
      <c r="C127" s="123"/>
      <c r="D127" s="123" t="s">
        <v>558</v>
      </c>
      <c r="E127" s="123"/>
      <c r="F127" s="12" t="s">
        <v>19</v>
      </c>
      <c r="G127" s="388">
        <f>(G112-SUM(G119:AF119))/G121</f>
        <v>1.5781530737385092E-2</v>
      </c>
      <c r="H127" s="471"/>
      <c r="I127" s="473"/>
      <c r="J127" s="473"/>
      <c r="K127" s="473"/>
      <c r="L127" s="473"/>
      <c r="M127" s="473"/>
      <c r="N127" s="473"/>
      <c r="O127" s="473"/>
      <c r="P127" s="473"/>
      <c r="Q127" s="473"/>
      <c r="R127" s="473"/>
      <c r="S127" s="473"/>
      <c r="T127" s="473"/>
      <c r="U127" s="473"/>
      <c r="V127" s="473"/>
      <c r="W127" s="473"/>
      <c r="X127" s="473"/>
      <c r="Y127" s="471"/>
      <c r="Z127" s="471"/>
      <c r="AA127" s="471"/>
      <c r="AB127" s="471"/>
      <c r="AC127" s="471"/>
      <c r="AD127" s="471"/>
      <c r="AE127" s="471"/>
      <c r="AF127" s="472"/>
      <c r="AH127" s="18"/>
      <c r="AI127" s="123"/>
      <c r="AJ127" s="123" t="s">
        <v>308</v>
      </c>
      <c r="AK127" s="123"/>
      <c r="AL127" s="12" t="s">
        <v>19</v>
      </c>
      <c r="AM127" s="388">
        <f>(AM112-SUM(AM119:BL119))/AM121</f>
        <v>-5.6908391170491157E-3</v>
      </c>
      <c r="AN127" s="300"/>
      <c r="AO127" s="300"/>
      <c r="AP127" s="300"/>
      <c r="AQ127" s="300"/>
      <c r="AR127" s="300"/>
      <c r="AS127" s="300"/>
      <c r="AT127" s="300"/>
      <c r="AU127" s="300"/>
      <c r="AV127" s="300"/>
      <c r="AW127" s="300"/>
      <c r="AX127" s="300"/>
      <c r="AY127" s="300"/>
      <c r="AZ127" s="300"/>
      <c r="BA127" s="300"/>
      <c r="BB127" s="300"/>
      <c r="BC127" s="300"/>
      <c r="BD127" s="300"/>
      <c r="BE127" s="300"/>
      <c r="BF127" s="300"/>
      <c r="BG127" s="300"/>
      <c r="BH127" s="300"/>
      <c r="BI127" s="300"/>
      <c r="BJ127" s="300"/>
      <c r="BK127" s="300"/>
      <c r="BL127" s="303"/>
    </row>
    <row r="128" spans="2:64" x14ac:dyDescent="0.25">
      <c r="B128" s="298"/>
      <c r="C128" s="389"/>
      <c r="D128" s="389" t="s">
        <v>559</v>
      </c>
      <c r="E128" s="389"/>
      <c r="F128" s="13" t="s">
        <v>19</v>
      </c>
      <c r="G128" s="390">
        <f ca="1">(G112-SUM(G119:AF119)-SUM(G120:AF120))/G121</f>
        <v>1.4370328409415635E-2</v>
      </c>
      <c r="H128" s="474"/>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5"/>
      <c r="AH128" s="298"/>
      <c r="AI128" s="389"/>
      <c r="AJ128" s="389" t="s">
        <v>312</v>
      </c>
      <c r="AK128" s="389"/>
      <c r="AL128" s="13" t="s">
        <v>19</v>
      </c>
      <c r="AM128" s="390">
        <f>(AM112-SUM(AM119:BL119)-SUM(AM120:BL120))/AM121</f>
        <v>-1.1138453902228233E-2</v>
      </c>
      <c r="AN128" s="310"/>
      <c r="AO128" s="310"/>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1"/>
    </row>
    <row r="129" spans="2:66" x14ac:dyDescent="0.25">
      <c r="B129" s="738" t="s">
        <v>298</v>
      </c>
      <c r="C129" s="739"/>
      <c r="D129" s="739"/>
      <c r="E129" s="739"/>
      <c r="F129" s="739"/>
      <c r="G129" s="739"/>
      <c r="H129" s="739"/>
      <c r="I129" s="739"/>
      <c r="J129" s="739"/>
      <c r="K129" s="739"/>
      <c r="L129" s="739"/>
      <c r="M129" s="211"/>
      <c r="N129" s="211"/>
      <c r="O129" s="211"/>
      <c r="P129" s="211"/>
      <c r="Q129" s="212"/>
      <c r="R129" s="287"/>
      <c r="S129" s="226"/>
      <c r="T129" s="227"/>
      <c r="U129" s="227"/>
      <c r="V129" s="227"/>
      <c r="W129" s="227"/>
      <c r="X129" s="227"/>
      <c r="Y129" s="227"/>
      <c r="Z129" s="227"/>
      <c r="AA129" s="227"/>
      <c r="AB129" s="227"/>
      <c r="AC129" s="227"/>
      <c r="AD129" s="227"/>
      <c r="AE129" s="227"/>
      <c r="AF129" s="227"/>
      <c r="AG129" s="58"/>
      <c r="AH129" s="749" t="s">
        <v>213</v>
      </c>
      <c r="AI129" s="750"/>
      <c r="AJ129" s="750"/>
      <c r="AK129" s="750"/>
      <c r="AL129" s="750"/>
      <c r="AM129" s="750"/>
      <c r="AN129" s="750"/>
      <c r="AO129" s="750"/>
      <c r="AP129" s="750"/>
      <c r="AQ129" s="750"/>
      <c r="AR129" s="750"/>
      <c r="AS129" s="149"/>
      <c r="AT129" s="149"/>
      <c r="AU129" s="149"/>
      <c r="AV129" s="149"/>
      <c r="AW129" s="224"/>
      <c r="AX129" s="225"/>
      <c r="AY129" s="226"/>
      <c r="AZ129" s="227"/>
      <c r="BA129" s="227"/>
      <c r="BB129" s="227"/>
      <c r="BC129" s="227"/>
      <c r="BD129" s="227"/>
      <c r="BE129" s="227"/>
      <c r="BF129" s="227"/>
      <c r="BG129" s="227"/>
      <c r="BH129" s="227"/>
      <c r="BI129" s="227"/>
      <c r="BJ129" s="227"/>
      <c r="BK129" s="227"/>
      <c r="BL129" s="227"/>
    </row>
    <row r="130" spans="2:66" x14ac:dyDescent="0.25">
      <c r="B130" s="31" t="s">
        <v>55</v>
      </c>
      <c r="C130" s="17"/>
      <c r="D130" s="17"/>
      <c r="E130" s="17"/>
      <c r="F130" s="17" t="s">
        <v>6</v>
      </c>
      <c r="G130" s="65">
        <f t="shared" ref="G130:AF130" si="106">G58</f>
        <v>25700000000</v>
      </c>
      <c r="H130" s="65">
        <f t="shared" si="106"/>
        <v>26001960000</v>
      </c>
      <c r="I130" s="65">
        <f t="shared" si="106"/>
        <v>26307626880</v>
      </c>
      <c r="J130" s="65">
        <f t="shared" si="106"/>
        <v>26617047851.279999</v>
      </c>
      <c r="K130" s="65">
        <f t="shared" si="106"/>
        <v>26930270743.91256</v>
      </c>
      <c r="L130" s="65">
        <f t="shared" si="106"/>
        <v>27247344015.046406</v>
      </c>
      <c r="M130" s="65">
        <f t="shared" si="106"/>
        <v>27568316757.302601</v>
      </c>
      <c r="N130" s="65">
        <f t="shared" si="106"/>
        <v>27893238707.28479</v>
      </c>
      <c r="O130" s="65">
        <f t="shared" si="106"/>
        <v>28222160254.205151</v>
      </c>
      <c r="P130" s="65">
        <f t="shared" si="106"/>
        <v>28555132448.62756</v>
      </c>
      <c r="Q130" s="65">
        <f t="shared" si="106"/>
        <v>28892207011.329655</v>
      </c>
      <c r="R130" s="65">
        <f t="shared" si="106"/>
        <v>29296697909.48827</v>
      </c>
      <c r="S130" s="65">
        <f t="shared" si="106"/>
        <v>29706851680.221107</v>
      </c>
      <c r="T130" s="65">
        <f t="shared" si="106"/>
        <v>30122747603.744202</v>
      </c>
      <c r="U130" s="65">
        <f t="shared" si="106"/>
        <v>30544466070.196621</v>
      </c>
      <c r="V130" s="65">
        <f t="shared" si="106"/>
        <v>30972088595.179375</v>
      </c>
      <c r="W130" s="65">
        <f t="shared" si="106"/>
        <v>31405697835.511887</v>
      </c>
      <c r="X130" s="65">
        <f t="shared" si="106"/>
        <v>31845377605.209053</v>
      </c>
      <c r="Y130" s="65">
        <f t="shared" si="106"/>
        <v>32291212891.68198</v>
      </c>
      <c r="Z130" s="65">
        <f t="shared" si="106"/>
        <v>32743289872.165527</v>
      </c>
      <c r="AA130" s="65">
        <f t="shared" si="106"/>
        <v>33201695930.375847</v>
      </c>
      <c r="AB130" s="65">
        <f t="shared" si="106"/>
        <v>33666519673.401108</v>
      </c>
      <c r="AC130" s="65">
        <f t="shared" si="106"/>
        <v>34137850948.828724</v>
      </c>
      <c r="AD130" s="65">
        <f t="shared" si="106"/>
        <v>34615780862.112328</v>
      </c>
      <c r="AE130" s="65">
        <f t="shared" si="106"/>
        <v>35100401794.1819</v>
      </c>
      <c r="AF130" s="66">
        <f t="shared" si="106"/>
        <v>35591807419.300446</v>
      </c>
      <c r="AG130" s="58"/>
      <c r="AH130" s="31" t="s">
        <v>55</v>
      </c>
      <c r="AI130" s="17"/>
      <c r="AJ130" s="17"/>
      <c r="AK130" s="17"/>
      <c r="AL130" s="17" t="s">
        <v>6</v>
      </c>
      <c r="AM130" s="65">
        <f t="shared" ref="AM130:BL130" si="107">AM58</f>
        <v>55389000000</v>
      </c>
      <c r="AN130" s="65">
        <f t="shared" si="107"/>
        <v>55790523400</v>
      </c>
      <c r="AO130" s="65">
        <f t="shared" si="107"/>
        <v>56180558208.440002</v>
      </c>
      <c r="AP130" s="65">
        <f t="shared" si="107"/>
        <v>56557889358.036911</v>
      </c>
      <c r="AQ130" s="65">
        <f t="shared" si="107"/>
        <v>56921215206.152534</v>
      </c>
      <c r="AR130" s="65">
        <f t="shared" si="107"/>
        <v>57269141674.320984</v>
      </c>
      <c r="AS130" s="65">
        <f t="shared" si="107"/>
        <v>57600175994.429245</v>
      </c>
      <c r="AT130" s="65">
        <f t="shared" si="107"/>
        <v>57912720035.188736</v>
      </c>
      <c r="AU130" s="65">
        <f t="shared" si="107"/>
        <v>58205063180.769058</v>
      </c>
      <c r="AV130" s="65">
        <f t="shared" si="107"/>
        <v>58475374731.580643</v>
      </c>
      <c r="AW130" s="65">
        <f t="shared" si="107"/>
        <v>58721695795.181915</v>
      </c>
      <c r="AX130" s="65">
        <f t="shared" si="107"/>
        <v>59402867466.406029</v>
      </c>
      <c r="AY130" s="65">
        <f t="shared" si="107"/>
        <v>60091940729.016342</v>
      </c>
      <c r="AZ130" s="65">
        <f t="shared" si="107"/>
        <v>60789007241.472939</v>
      </c>
      <c r="BA130" s="65">
        <f t="shared" si="107"/>
        <v>61494159725.47403</v>
      </c>
      <c r="BB130" s="65">
        <f t="shared" si="107"/>
        <v>62207491978.289528</v>
      </c>
      <c r="BC130" s="65">
        <f t="shared" si="107"/>
        <v>62929098885.237686</v>
      </c>
      <c r="BD130" s="65">
        <f t="shared" si="107"/>
        <v>63659076432.30645</v>
      </c>
      <c r="BE130" s="65">
        <f t="shared" si="107"/>
        <v>64397521718.921211</v>
      </c>
      <c r="BF130" s="65">
        <f t="shared" si="107"/>
        <v>65144532970.860703</v>
      </c>
      <c r="BG130" s="65">
        <f t="shared" si="107"/>
        <v>65900209553.322693</v>
      </c>
      <c r="BH130" s="65">
        <f t="shared" si="107"/>
        <v>66664651984.141243</v>
      </c>
      <c r="BI130" s="65">
        <f t="shared" si="107"/>
        <v>67437961947.157288</v>
      </c>
      <c r="BJ130" s="65">
        <f t="shared" si="107"/>
        <v>68220242305.744316</v>
      </c>
      <c r="BK130" s="65">
        <f t="shared" si="107"/>
        <v>69011597116.490952</v>
      </c>
      <c r="BL130" s="66">
        <f t="shared" si="107"/>
        <v>69812131643.042252</v>
      </c>
    </row>
    <row r="131" spans="2:66" x14ac:dyDescent="0.25">
      <c r="B131" s="62"/>
      <c r="C131" s="283" t="s">
        <v>292</v>
      </c>
      <c r="D131" s="11"/>
      <c r="E131" s="17"/>
      <c r="F131" s="17" t="s">
        <v>19</v>
      </c>
      <c r="G131" s="46">
        <f>'Customer Sector'!$F$71*'Customer Sector'!F70</f>
        <v>1701598173.5159817</v>
      </c>
      <c r="H131" s="65">
        <f>(G131*(1+'Customer Sector'!$F$12))-H133</f>
        <v>1720793347.9452055</v>
      </c>
      <c r="I131" s="65">
        <f>(H131*(1+'Customer Sector'!$F$12))-I133</f>
        <v>1740215610.0164385</v>
      </c>
      <c r="J131" s="65">
        <f>(I131*(1+'Customer Sector'!$F$12))-J133</f>
        <v>1759867764.1534688</v>
      </c>
      <c r="K131" s="65">
        <f>(J131*(1+'Customer Sector'!$F$12))-K133</f>
        <v>1779752650.6687884</v>
      </c>
      <c r="L131" s="65">
        <f>(K131*(1+'Customer Sector'!$F$12))-L133</f>
        <v>1799873146.2356772</v>
      </c>
      <c r="M131" s="65">
        <f>(L131*(1+'Customer Sector'!$F$12))-M133</f>
        <v>1820232164.3666201</v>
      </c>
      <c r="N131" s="65">
        <f>(M131*(1+'Customer Sector'!$F$12))-N133</f>
        <v>1840832655.898149</v>
      </c>
      <c r="O131" s="65">
        <f>(N131*(1+'Customer Sector'!$F$12))-O133</f>
        <v>1861677609.482193</v>
      </c>
      <c r="P131" s="65">
        <f>(O131*(1+'Customer Sector'!$F$12))-P133</f>
        <v>1882770052.0840266</v>
      </c>
      <c r="Q131" s="65">
        <f>(P131*(1+'Customer Sector'!$F$12))-Q133</f>
        <v>1904113049.4869077</v>
      </c>
      <c r="R131" s="65">
        <f>(Q131*(1+'Customer Sector'!$F$12))-R133</f>
        <v>1930770632.1797245</v>
      </c>
      <c r="S131" s="65">
        <f>(R131*(1+'Customer Sector'!$F$12))-S133</f>
        <v>1957801421.0302405</v>
      </c>
      <c r="T131" s="65">
        <f>(S131*(1+'Customer Sector'!$F$12))-T133</f>
        <v>1985210640.924664</v>
      </c>
      <c r="U131" s="65">
        <f>(T131*(1+'Customer Sector'!$F$12))-U133</f>
        <v>2013003589.8976092</v>
      </c>
      <c r="V131" s="65">
        <f>(U131*(1+'Customer Sector'!$F$12))-V133</f>
        <v>2041185640.1561759</v>
      </c>
      <c r="W131" s="65">
        <f>(V131*(1+'Customer Sector'!$F$12))-W133</f>
        <v>2069762239.1183624</v>
      </c>
      <c r="X131" s="65">
        <f>(W131*(1+'Customer Sector'!$F$12))-X133</f>
        <v>2098738910.4660196</v>
      </c>
      <c r="Y131" s="65">
        <f>(X131*(1+'Customer Sector'!$F$12))-Y133</f>
        <v>2128121255.212544</v>
      </c>
      <c r="Z131" s="65">
        <f>(Y131*(1+'Customer Sector'!$F$12))-Z133</f>
        <v>2157914952.7855196</v>
      </c>
      <c r="AA131" s="65">
        <f>(Z131*(1+'Customer Sector'!$F$12))-AA133</f>
        <v>2188125762.124517</v>
      </c>
      <c r="AB131" s="65">
        <f>(AA131*(1+'Customer Sector'!$F$12))-AB133</f>
        <v>2218759522.79426</v>
      </c>
      <c r="AC131" s="65">
        <f>(AB131*(1+'Customer Sector'!$F$12))-AC133</f>
        <v>2249822156.1133795</v>
      </c>
      <c r="AD131" s="65">
        <f>(AC131*(1+'Customer Sector'!$F$12))-AD133</f>
        <v>2281319666.2989669</v>
      </c>
      <c r="AE131" s="65">
        <f>(AD131*(1+'Customer Sector'!$F$12))-AE133</f>
        <v>2313258141.6271524</v>
      </c>
      <c r="AF131" s="67">
        <f>(AE131*(1+'Customer Sector'!$F$12))-AF133</f>
        <v>2345643755.6099324</v>
      </c>
      <c r="AG131" s="58"/>
      <c r="AH131" s="62"/>
      <c r="AI131" s="11" t="s">
        <v>273</v>
      </c>
      <c r="AJ131" s="11"/>
      <c r="AK131" s="17"/>
      <c r="AL131" s="17" t="s">
        <v>19</v>
      </c>
      <c r="AM131" s="46">
        <f>'Customer Sector'!$L$71*'Customer Sector'!L70</f>
        <v>3667308219.1780825</v>
      </c>
      <c r="AN131" s="65">
        <f>(AM131*(1+'Customer Sector'!$L$12))-AN133</f>
        <v>3685750094.5205483</v>
      </c>
      <c r="AO131" s="65">
        <f>(AN131*(1+'Customer Sector'!$L$12))-AO133</f>
        <v>3702791269.3169866</v>
      </c>
      <c r="AP131" s="65">
        <f>(AO131*(1+'Customer Sector'!$L$12))-AP133</f>
        <v>3718307315.4789639</v>
      </c>
      <c r="AQ131" s="65">
        <f>(AP131*(1+'Customer Sector'!$L$12))-AQ133</f>
        <v>3732165113.4947596</v>
      </c>
      <c r="AR131" s="65">
        <f>(AQ131*(1+'Customer Sector'!$L$12))-AR133</f>
        <v>3744222265.989006</v>
      </c>
      <c r="AS131" s="65">
        <f>(AR131*(1+'Customer Sector'!$L$12))-AS133</f>
        <v>3754326471.9430928</v>
      </c>
      <c r="AT131" s="65">
        <f>(AS131*(1+'Customer Sector'!$L$12))-AT133</f>
        <v>3762314858.9400439</v>
      </c>
      <c r="AU131" s="65">
        <f>(AT131*(1+'Customer Sector'!$L$12))-AU133</f>
        <v>3768013270.6209612</v>
      </c>
      <c r="AV131" s="65">
        <f>(AU131*(1+'Customer Sector'!$L$12))-AV133</f>
        <v>3771235506.3516302</v>
      </c>
      <c r="AW131" s="65">
        <f>(AV131*(1+'Customer Sector'!$L$12))-AW133</f>
        <v>3771782509.8968034</v>
      </c>
      <c r="AX131" s="65">
        <f>(AW131*(1+'Customer Sector'!$L$12))-AX133</f>
        <v>3815535187.0116067</v>
      </c>
      <c r="AY131" s="65">
        <f>(AX131*(1+'Customer Sector'!$L$12))-AY133</f>
        <v>3859795395.1809416</v>
      </c>
      <c r="AZ131" s="65">
        <f>(AY131*(1+'Customer Sector'!$L$12))-AZ133</f>
        <v>3904569021.7650409</v>
      </c>
      <c r="BA131" s="65">
        <f>(AZ131*(1+'Customer Sector'!$L$12))-BA133</f>
        <v>3949862022.4175158</v>
      </c>
      <c r="BB131" s="65">
        <f>(BA131*(1+'Customer Sector'!$L$12))-BB133</f>
        <v>3995680421.8775592</v>
      </c>
      <c r="BC131" s="65">
        <f>(BB131*(1+'Customer Sector'!$L$12))-BC133</f>
        <v>4042030314.7713389</v>
      </c>
      <c r="BD131" s="65">
        <f>(BC131*(1+'Customer Sector'!$L$12))-BD133</f>
        <v>4088917866.4226866</v>
      </c>
      <c r="BE131" s="65">
        <f>(BD131*(1+'Customer Sector'!$L$12))-BE133</f>
        <v>4136349313.6731901</v>
      </c>
      <c r="BF131" s="65">
        <f>(BE131*(1+'Customer Sector'!$L$12))-BF133</f>
        <v>4184330965.7117991</v>
      </c>
      <c r="BG131" s="65">
        <f>(BF131*(1+'Customer Sector'!$L$12))-BG133</f>
        <v>4232869204.9140563</v>
      </c>
      <c r="BH131" s="65">
        <f>(BG131*(1+'Customer Sector'!$L$12))-BH133</f>
        <v>4281970487.6910596</v>
      </c>
      <c r="BI131" s="65">
        <f>(BH131*(1+'Customer Sector'!$L$12))-BI133</f>
        <v>4331641345.3482761</v>
      </c>
      <c r="BJ131" s="65">
        <f>(BI131*(1+'Customer Sector'!$L$12))-BJ133</f>
        <v>4381888384.9543161</v>
      </c>
      <c r="BK131" s="65">
        <f>(BJ131*(1+'Customer Sector'!$L$12))-BK133</f>
        <v>4432718290.2197866</v>
      </c>
      <c r="BL131" s="67">
        <f>(BK131*(1+'Customer Sector'!$L$12))-BL133</f>
        <v>4484137822.3863363</v>
      </c>
    </row>
    <row r="132" spans="2:66" x14ac:dyDescent="0.25">
      <c r="B132" s="62"/>
      <c r="C132" s="283" t="s">
        <v>293</v>
      </c>
      <c r="D132" s="11"/>
      <c r="E132" s="17"/>
      <c r="F132" s="17" t="s">
        <v>19</v>
      </c>
      <c r="G132" s="65">
        <f>G130-G131</f>
        <v>23998401826.484016</v>
      </c>
      <c r="H132" s="65">
        <f>(G132*(1+'Customer Sector'!$F$12))-H134</f>
        <v>24281166652.054794</v>
      </c>
      <c r="I132" s="65">
        <f>(H132*(1+'Customer Sector'!$F$12))-I134</f>
        <v>24567411269.983562</v>
      </c>
      <c r="J132" s="65">
        <f>(I132*(1+'Customer Sector'!$F$12))-J134</f>
        <v>24857180087.126534</v>
      </c>
      <c r="K132" s="65">
        <f>(J132*(1+'Customer Sector'!$F$12))-K134</f>
        <v>25150518093.243774</v>
      </c>
      <c r="L132" s="65">
        <f>(K132*(1+'Customer Sector'!$F$12))-L134</f>
        <v>25447470868.810734</v>
      </c>
      <c r="M132" s="65">
        <f>(L132*(1+'Customer Sector'!$F$12))-M134</f>
        <v>25748084592.935982</v>
      </c>
      <c r="N132" s="65">
        <f>(M132*(1+'Customer Sector'!$F$12))-N134</f>
        <v>26052406051.386642</v>
      </c>
      <c r="O132" s="65">
        <f>(N132*(1+'Customer Sector'!$F$12))-O134</f>
        <v>26360482644.722958</v>
      </c>
      <c r="P132" s="65">
        <f>(O132*(1+'Customer Sector'!$F$12))-P134</f>
        <v>26672362396.543537</v>
      </c>
      <c r="Q132" s="65">
        <f>(P132*(1+'Customer Sector'!$F$12))-Q134</f>
        <v>26988093961.842751</v>
      </c>
      <c r="R132" s="65">
        <f>(Q132*(1+'Customer Sector'!$F$12))-R134</f>
        <v>27365927277.308548</v>
      </c>
      <c r="S132" s="65">
        <f>(R132*(1+'Customer Sector'!$F$12))-S134</f>
        <v>27749050259.190868</v>
      </c>
      <c r="T132" s="65">
        <f>(S132*(1+'Customer Sector'!$F$12))-T134</f>
        <v>28137536962.819542</v>
      </c>
      <c r="U132" s="65">
        <f>(T132*(1+'Customer Sector'!$F$12))-U134</f>
        <v>28531462480.299015</v>
      </c>
      <c r="V132" s="65">
        <f>(U132*(1+'Customer Sector'!$F$12))-V134</f>
        <v>28930902955.023201</v>
      </c>
      <c r="W132" s="65">
        <f>(V132*(1+'Customer Sector'!$F$12))-W134</f>
        <v>29335935596.393528</v>
      </c>
      <c r="X132" s="65">
        <f>(W132*(1+'Customer Sector'!$F$12))-X134</f>
        <v>29746638694.743038</v>
      </c>
      <c r="Y132" s="65">
        <f>(X132*(1+'Customer Sector'!$F$12))-Y134</f>
        <v>30163091636.46944</v>
      </c>
      <c r="Z132" s="65">
        <f>(Y132*(1+'Customer Sector'!$F$12))-Z134</f>
        <v>30585374919.380013</v>
      </c>
      <c r="AA132" s="65">
        <f>(Z132*(1+'Customer Sector'!$F$12))-AA134</f>
        <v>31013570168.251331</v>
      </c>
      <c r="AB132" s="65">
        <f>(AA132*(1+'Customer Sector'!$F$12))-AB134</f>
        <v>31447760150.60685</v>
      </c>
      <c r="AC132" s="65">
        <f>(AB132*(1+'Customer Sector'!$F$12))-AC134</f>
        <v>31888028792.715347</v>
      </c>
      <c r="AD132" s="65">
        <f>(AC132*(1+'Customer Sector'!$F$12))-AD134</f>
        <v>32334461195.813362</v>
      </c>
      <c r="AE132" s="65">
        <f>(AD132*(1+'Customer Sector'!$F$12))-AE134</f>
        <v>32787143652.554749</v>
      </c>
      <c r="AF132" s="67">
        <f>(AE132*(1+'Customer Sector'!$F$12))-AF134</f>
        <v>33246163663.690514</v>
      </c>
      <c r="AG132" s="58"/>
      <c r="AH132" s="62"/>
      <c r="AI132" s="11" t="s">
        <v>274</v>
      </c>
      <c r="AJ132" s="11"/>
      <c r="AK132" s="17"/>
      <c r="AL132" s="17" t="s">
        <v>19</v>
      </c>
      <c r="AM132" s="65">
        <f>AM130-AM131</f>
        <v>51721691780.821915</v>
      </c>
      <c r="AN132" s="65">
        <f t="shared" ref="AN132:BL132" si="108">AN130-AN131</f>
        <v>52104773305.479454</v>
      </c>
      <c r="AO132" s="65">
        <f t="shared" si="108"/>
        <v>52477766939.123016</v>
      </c>
      <c r="AP132" s="65">
        <f t="shared" si="108"/>
        <v>52839582042.557945</v>
      </c>
      <c r="AQ132" s="65">
        <f t="shared" si="108"/>
        <v>53189050092.657776</v>
      </c>
      <c r="AR132" s="65">
        <f t="shared" si="108"/>
        <v>53524919408.331978</v>
      </c>
      <c r="AS132" s="65">
        <f t="shared" si="108"/>
        <v>53845849522.486153</v>
      </c>
      <c r="AT132" s="65">
        <f t="shared" si="108"/>
        <v>54150405176.248695</v>
      </c>
      <c r="AU132" s="65">
        <f t="shared" si="108"/>
        <v>54437049910.148094</v>
      </c>
      <c r="AV132" s="65">
        <f t="shared" si="108"/>
        <v>54704139225.229012</v>
      </c>
      <c r="AW132" s="65">
        <f t="shared" si="108"/>
        <v>54949913285.28511</v>
      </c>
      <c r="AX132" s="65">
        <f t="shared" si="108"/>
        <v>55587332279.394424</v>
      </c>
      <c r="AY132" s="65">
        <f t="shared" si="108"/>
        <v>56232145333.835403</v>
      </c>
      <c r="AZ132" s="65">
        <f t="shared" si="108"/>
        <v>56884438219.707901</v>
      </c>
      <c r="BA132" s="65">
        <f t="shared" si="108"/>
        <v>57544297703.056511</v>
      </c>
      <c r="BB132" s="65">
        <f t="shared" si="108"/>
        <v>58211811556.411972</v>
      </c>
      <c r="BC132" s="65">
        <f t="shared" si="108"/>
        <v>58887068570.466347</v>
      </c>
      <c r="BD132" s="65">
        <f t="shared" si="108"/>
        <v>59570158565.883766</v>
      </c>
      <c r="BE132" s="65">
        <f t="shared" si="108"/>
        <v>60261172405.248024</v>
      </c>
      <c r="BF132" s="65">
        <f t="shared" si="108"/>
        <v>60960202005.148903</v>
      </c>
      <c r="BG132" s="65">
        <f t="shared" si="108"/>
        <v>61667340348.408638</v>
      </c>
      <c r="BH132" s="65">
        <f t="shared" si="108"/>
        <v>62382681496.45018</v>
      </c>
      <c r="BI132" s="65">
        <f t="shared" si="108"/>
        <v>63106320601.809013</v>
      </c>
      <c r="BJ132" s="65">
        <f t="shared" si="108"/>
        <v>63838353920.790001</v>
      </c>
      <c r="BK132" s="65">
        <f t="shared" si="108"/>
        <v>64578878826.271164</v>
      </c>
      <c r="BL132" s="67">
        <f t="shared" si="108"/>
        <v>65327993820.655914</v>
      </c>
    </row>
    <row r="133" spans="2:66" x14ac:dyDescent="0.25">
      <c r="B133" s="62"/>
      <c r="C133" s="11" t="s">
        <v>313</v>
      </c>
      <c r="D133" s="11"/>
      <c r="E133" s="17"/>
      <c r="F133" s="17" t="s">
        <v>19</v>
      </c>
      <c r="G133" s="65">
        <f>'Customer Sector'!$F$72*G63</f>
        <v>0</v>
      </c>
      <c r="H133" s="65">
        <f>'Customer Sector'!$F$72*H63</f>
        <v>4627200</v>
      </c>
      <c r="I133" s="65">
        <f>'Customer Sector'!$F$72*I63</f>
        <v>4668844.8</v>
      </c>
      <c r="J133" s="65">
        <f>'Customer Sector'!$F$72*J63</f>
        <v>4710864.4031999987</v>
      </c>
      <c r="K133" s="65">
        <f>'Customer Sector'!$F$72*K63</f>
        <v>4753262.182828798</v>
      </c>
      <c r="L133" s="65">
        <f>'Customer Sector'!$F$72*L63</f>
        <v>4796041.5424742568</v>
      </c>
      <c r="M133" s="65">
        <f>'Customer Sector'!$F$72*M63</f>
        <v>4839205.9163565254</v>
      </c>
      <c r="N133" s="65">
        <f>'Customer Sector'!$F$72*N63</f>
        <v>4882758.769603733</v>
      </c>
      <c r="O133" s="65">
        <f>'Customer Sector'!$F$72*O63</f>
        <v>4926703.5985301659</v>
      </c>
      <c r="P133" s="65">
        <f>'Customer Sector'!$F$72*P63</f>
        <v>4971043.9309169371</v>
      </c>
      <c r="Q133" s="65">
        <f>'Customer Sector'!$F$72*Q63</f>
        <v>5015783.3262951886</v>
      </c>
      <c r="R133" s="65">
        <f>'Customer Sector'!$F$72*R63</f>
        <v>0</v>
      </c>
      <c r="S133" s="65">
        <f>'Customer Sector'!$F$72*S63</f>
        <v>0</v>
      </c>
      <c r="T133" s="65">
        <f>'Customer Sector'!$F$72*T63</f>
        <v>0</v>
      </c>
      <c r="U133" s="65">
        <f>'Customer Sector'!$F$72*U63</f>
        <v>0</v>
      </c>
      <c r="V133" s="65">
        <f>'Customer Sector'!$F$72*V63</f>
        <v>0</v>
      </c>
      <c r="W133" s="65">
        <f>'Customer Sector'!$F$72*W63</f>
        <v>0</v>
      </c>
      <c r="X133" s="65">
        <f>'Customer Sector'!$F$72*X63</f>
        <v>0</v>
      </c>
      <c r="Y133" s="65">
        <f>'Customer Sector'!$F$72*Y63</f>
        <v>0</v>
      </c>
      <c r="Z133" s="65">
        <f>'Customer Sector'!$F$72*Z63</f>
        <v>0</v>
      </c>
      <c r="AA133" s="65">
        <f>'Customer Sector'!$F$72*AA63</f>
        <v>0</v>
      </c>
      <c r="AB133" s="65">
        <f>'Customer Sector'!$F$72*AB63</f>
        <v>0</v>
      </c>
      <c r="AC133" s="65">
        <f>'Customer Sector'!$F$72*AC63</f>
        <v>0</v>
      </c>
      <c r="AD133" s="65">
        <f>'Customer Sector'!$F$72*AD63</f>
        <v>0</v>
      </c>
      <c r="AE133" s="65">
        <f>'Customer Sector'!$F$72*AE63</f>
        <v>0</v>
      </c>
      <c r="AF133" s="67">
        <f>'Customer Sector'!$F$72*AF63</f>
        <v>0</v>
      </c>
      <c r="AG133" s="58"/>
      <c r="AH133" s="62"/>
      <c r="AI133" s="11" t="s">
        <v>264</v>
      </c>
      <c r="AJ133" s="11"/>
      <c r="AK133" s="17"/>
      <c r="AL133" s="17"/>
      <c r="AM133" s="65">
        <f>'Customer Sector'!$L$72*AM64</f>
        <v>0</v>
      </c>
      <c r="AN133" s="65">
        <f>'Customer Sector'!$L$72*AN63</f>
        <v>24098900</v>
      </c>
      <c r="AO133" s="65">
        <f>'Customer Sector'!$L$72*AO63</f>
        <v>25713526.300000001</v>
      </c>
      <c r="AP133" s="65">
        <f>'Customer Sector'!$L$72*AP63</f>
        <v>27436332.562100001</v>
      </c>
      <c r="AQ133" s="65">
        <f>'Customer Sector'!$L$72*AQ63</f>
        <v>29274566.843760699</v>
      </c>
      <c r="AR133" s="65">
        <f>'Customer Sector'!$L$72*AR63</f>
        <v>31235962.822292663</v>
      </c>
      <c r="AS133" s="65">
        <f>'Customer Sector'!$L$72*AS63</f>
        <v>33328772.331386268</v>
      </c>
      <c r="AT133" s="65">
        <f>'Customer Sector'!$L$72*AT63</f>
        <v>35561800.077589147</v>
      </c>
      <c r="AU133" s="65">
        <f>'Customer Sector'!$L$72*AU63</f>
        <v>37944440.68278762</v>
      </c>
      <c r="AV133" s="65">
        <f>'Customer Sector'!$L$72*AV63</f>
        <v>40486718.20853439</v>
      </c>
      <c r="AW133" s="65">
        <f>'Customer Sector'!$L$72*AW63</f>
        <v>43199328.328506194</v>
      </c>
      <c r="AX133" s="65">
        <f>'Customer Sector'!$L$72*AX63</f>
        <v>0</v>
      </c>
      <c r="AY133" s="65">
        <f>'Customer Sector'!$L$72*AY63</f>
        <v>0</v>
      </c>
      <c r="AZ133" s="65">
        <f>'Customer Sector'!$L$72*AZ63</f>
        <v>0</v>
      </c>
      <c r="BA133" s="65">
        <f>'Customer Sector'!$L$72*BA63</f>
        <v>0</v>
      </c>
      <c r="BB133" s="65">
        <f>'Customer Sector'!$L$72*BB63</f>
        <v>0</v>
      </c>
      <c r="BC133" s="65">
        <f>'Customer Sector'!$L$72*BC63</f>
        <v>0</v>
      </c>
      <c r="BD133" s="65">
        <f>'Customer Sector'!$L$72*BD63</f>
        <v>0</v>
      </c>
      <c r="BE133" s="65">
        <f>'Customer Sector'!$L$72*BE63</f>
        <v>0</v>
      </c>
      <c r="BF133" s="65">
        <f>'Customer Sector'!$L$72*BF63</f>
        <v>0</v>
      </c>
      <c r="BG133" s="65">
        <f>'Customer Sector'!$L$72*BG63</f>
        <v>0</v>
      </c>
      <c r="BH133" s="65">
        <f>'Customer Sector'!$L$72*BH63</f>
        <v>0</v>
      </c>
      <c r="BI133" s="65">
        <f>'Customer Sector'!$L$72*BI63</f>
        <v>0</v>
      </c>
      <c r="BJ133" s="65">
        <f>'Customer Sector'!$L$72*BJ63</f>
        <v>0</v>
      </c>
      <c r="BK133" s="65">
        <f>'Customer Sector'!$L$72*BK63</f>
        <v>0</v>
      </c>
      <c r="BL133" s="67">
        <f>'Customer Sector'!$L$72*BL63</f>
        <v>0</v>
      </c>
    </row>
    <row r="134" spans="2:66" x14ac:dyDescent="0.25">
      <c r="B134" s="62"/>
      <c r="C134" s="11" t="s">
        <v>314</v>
      </c>
      <c r="D134" s="11"/>
      <c r="E134" s="17"/>
      <c r="F134" s="17" t="s">
        <v>19</v>
      </c>
      <c r="G134" s="65">
        <f>(1-'Customer Sector'!$F$72)*G63</f>
        <v>0</v>
      </c>
      <c r="H134" s="65">
        <f>(1-'Customer Sector'!$F$72)*H63</f>
        <v>53212800</v>
      </c>
      <c r="I134" s="65">
        <f>(1-'Customer Sector'!$F$72)*I63</f>
        <v>53691715.199999996</v>
      </c>
      <c r="J134" s="65">
        <f>(1-'Customer Sector'!$F$72)*J63</f>
        <v>54174940.636799991</v>
      </c>
      <c r="K134" s="65">
        <f>(1-'Customer Sector'!$F$72)*K63</f>
        <v>54662515.10253118</v>
      </c>
      <c r="L134" s="65">
        <f>(1-'Customer Sector'!$F$72)*L63</f>
        <v>55154477.738453954</v>
      </c>
      <c r="M134" s="65">
        <f>(1-'Customer Sector'!$F$72)*M63</f>
        <v>55650868.038100041</v>
      </c>
      <c r="N134" s="65">
        <f>(1-'Customer Sector'!$F$72)*N63</f>
        <v>56151725.850442931</v>
      </c>
      <c r="O134" s="65">
        <f>(1-'Customer Sector'!$F$72)*O63</f>
        <v>56657091.383096911</v>
      </c>
      <c r="P134" s="65">
        <f>(1-'Customer Sector'!$F$72)*P63</f>
        <v>57167005.205544777</v>
      </c>
      <c r="Q134" s="65">
        <f>(1-'Customer Sector'!$F$72)*Q63</f>
        <v>57681508.252394669</v>
      </c>
      <c r="R134" s="65">
        <f>(1-'Customer Sector'!$F$72)*R63</f>
        <v>0</v>
      </c>
      <c r="S134" s="65">
        <f>(1-'Customer Sector'!$F$72)*S63</f>
        <v>0</v>
      </c>
      <c r="T134" s="65">
        <f>(1-'Customer Sector'!$F$72)*T63</f>
        <v>0</v>
      </c>
      <c r="U134" s="65">
        <f>(1-'Customer Sector'!$F$72)*U63</f>
        <v>0</v>
      </c>
      <c r="V134" s="65">
        <f>(1-'Customer Sector'!$F$72)*V63</f>
        <v>0</v>
      </c>
      <c r="W134" s="65">
        <f>(1-'Customer Sector'!$F$72)*W63</f>
        <v>0</v>
      </c>
      <c r="X134" s="65">
        <f>(1-'Customer Sector'!$F$72)*X63</f>
        <v>0</v>
      </c>
      <c r="Y134" s="65">
        <f>(1-'Customer Sector'!$F$72)*Y63</f>
        <v>0</v>
      </c>
      <c r="Z134" s="65">
        <f>(1-'Customer Sector'!$F$72)*Z63</f>
        <v>0</v>
      </c>
      <c r="AA134" s="65">
        <f>(1-'Customer Sector'!$F$72)*AA63</f>
        <v>0</v>
      </c>
      <c r="AB134" s="65">
        <f>(1-'Customer Sector'!$F$72)*AB63</f>
        <v>0</v>
      </c>
      <c r="AC134" s="65">
        <f>(1-'Customer Sector'!$F$72)*AC63</f>
        <v>0</v>
      </c>
      <c r="AD134" s="65">
        <f>(1-'Customer Sector'!$F$72)*AD63</f>
        <v>0</v>
      </c>
      <c r="AE134" s="65">
        <f>(1-'Customer Sector'!$F$72)*AE63</f>
        <v>0</v>
      </c>
      <c r="AF134" s="67">
        <f>(1-'Customer Sector'!$F$72)*AF63</f>
        <v>0</v>
      </c>
      <c r="AG134" s="58"/>
      <c r="AH134" s="62"/>
      <c r="AI134" s="11" t="s">
        <v>265</v>
      </c>
      <c r="AJ134" s="11"/>
      <c r="AK134" s="17"/>
      <c r="AL134" s="17"/>
      <c r="AM134" s="65">
        <f>(1-'Customer Sector'!$L$72)*AM64</f>
        <v>0</v>
      </c>
      <c r="AN134" s="65">
        <f>(1-'Customer Sector'!$L$72)*AN63</f>
        <v>216890100</v>
      </c>
      <c r="AO134" s="65">
        <f>(1-'Customer Sector'!$L$72)*AO63</f>
        <v>231421736.70000002</v>
      </c>
      <c r="AP134" s="65">
        <f>(1-'Customer Sector'!$L$72)*AP63</f>
        <v>246926993.0589</v>
      </c>
      <c r="AQ134" s="65">
        <f>(1-'Customer Sector'!$L$72)*AQ63</f>
        <v>263471101.59384629</v>
      </c>
      <c r="AR134" s="65">
        <f>(1-'Customer Sector'!$L$72)*AR63</f>
        <v>281123665.40063399</v>
      </c>
      <c r="AS134" s="65">
        <f>(1-'Customer Sector'!$L$72)*AS63</f>
        <v>299958950.98247641</v>
      </c>
      <c r="AT134" s="65">
        <f>(1-'Customer Sector'!$L$72)*AT63</f>
        <v>320056200.69830233</v>
      </c>
      <c r="AU134" s="65">
        <f>(1-'Customer Sector'!$L$72)*AU63</f>
        <v>341499966.14508861</v>
      </c>
      <c r="AV134" s="65">
        <f>(1-'Customer Sector'!$L$72)*AV63</f>
        <v>364380463.87680954</v>
      </c>
      <c r="AW134" s="65">
        <f>(1-'Customer Sector'!$L$72)*AW63</f>
        <v>388793954.95655572</v>
      </c>
      <c r="AX134" s="65">
        <f>(1-'Customer Sector'!$L$72)*AX63</f>
        <v>0</v>
      </c>
      <c r="AY134" s="65">
        <f>(1-'Customer Sector'!$L$72)*AY63</f>
        <v>0</v>
      </c>
      <c r="AZ134" s="65">
        <f>(1-'Customer Sector'!$L$72)*AZ63</f>
        <v>0</v>
      </c>
      <c r="BA134" s="65">
        <f>(1-'Customer Sector'!$L$72)*BA63</f>
        <v>0</v>
      </c>
      <c r="BB134" s="65">
        <f>(1-'Customer Sector'!$L$72)*BB63</f>
        <v>0</v>
      </c>
      <c r="BC134" s="65">
        <f>(1-'Customer Sector'!$L$72)*BC63</f>
        <v>0</v>
      </c>
      <c r="BD134" s="65">
        <f>(1-'Customer Sector'!$L$72)*BD63</f>
        <v>0</v>
      </c>
      <c r="BE134" s="65">
        <f>(1-'Customer Sector'!$L$72)*BE63</f>
        <v>0</v>
      </c>
      <c r="BF134" s="65">
        <f>(1-'Customer Sector'!$L$72)*BF63</f>
        <v>0</v>
      </c>
      <c r="BG134" s="65">
        <f>(1-'Customer Sector'!$L$72)*BG63</f>
        <v>0</v>
      </c>
      <c r="BH134" s="65">
        <f>(1-'Customer Sector'!$L$72)*BH63</f>
        <v>0</v>
      </c>
      <c r="BI134" s="65">
        <f>(1-'Customer Sector'!$L$72)*BI63</f>
        <v>0</v>
      </c>
      <c r="BJ134" s="65">
        <f>(1-'Customer Sector'!$L$72)*BJ63</f>
        <v>0</v>
      </c>
      <c r="BK134" s="65">
        <f>(1-'Customer Sector'!$L$72)*BK63</f>
        <v>0</v>
      </c>
      <c r="BL134" s="67">
        <f>(1-'Customer Sector'!$L$72)*BL63</f>
        <v>0</v>
      </c>
    </row>
    <row r="135" spans="2:66" x14ac:dyDescent="0.25">
      <c r="B135" s="2" t="s">
        <v>25</v>
      </c>
      <c r="C135" s="5"/>
      <c r="D135" s="5"/>
      <c r="E135" s="12"/>
      <c r="F135" s="12" t="s">
        <v>6</v>
      </c>
      <c r="G135" s="391">
        <f t="shared" ref="G135:AF135" si="109">G57</f>
        <v>25700000000</v>
      </c>
      <c r="H135" s="391">
        <f t="shared" si="109"/>
        <v>26059800000</v>
      </c>
      <c r="I135" s="391">
        <f t="shared" si="109"/>
        <v>26424637200</v>
      </c>
      <c r="J135" s="391">
        <f t="shared" si="109"/>
        <v>26794582120.799999</v>
      </c>
      <c r="K135" s="391">
        <f t="shared" si="109"/>
        <v>27169706270.491199</v>
      </c>
      <c r="L135" s="391">
        <f t="shared" si="109"/>
        <v>27550082158.278076</v>
      </c>
      <c r="M135" s="391">
        <f t="shared" si="109"/>
        <v>27935783308.493969</v>
      </c>
      <c r="N135" s="391">
        <f t="shared" si="109"/>
        <v>28326884274.812885</v>
      </c>
      <c r="O135" s="391">
        <f t="shared" si="109"/>
        <v>28723460654.660267</v>
      </c>
      <c r="P135" s="391">
        <f t="shared" si="109"/>
        <v>29125589103.825512</v>
      </c>
      <c r="Q135" s="391">
        <f t="shared" si="109"/>
        <v>29533347351.279068</v>
      </c>
      <c r="R135" s="391">
        <f t="shared" si="109"/>
        <v>29946814214.196976</v>
      </c>
      <c r="S135" s="391">
        <f t="shared" si="109"/>
        <v>30366069613.195732</v>
      </c>
      <c r="T135" s="391">
        <f t="shared" si="109"/>
        <v>30791194587.780472</v>
      </c>
      <c r="U135" s="391">
        <f t="shared" si="109"/>
        <v>31222271312.009399</v>
      </c>
      <c r="V135" s="391">
        <f t="shared" si="109"/>
        <v>31659383110.377533</v>
      </c>
      <c r="W135" s="391">
        <f t="shared" si="109"/>
        <v>32102614473.922817</v>
      </c>
      <c r="X135" s="391">
        <f t="shared" si="109"/>
        <v>32552051076.557735</v>
      </c>
      <c r="Y135" s="391">
        <f t="shared" si="109"/>
        <v>33007779791.629543</v>
      </c>
      <c r="Z135" s="391">
        <f t="shared" si="109"/>
        <v>33469888708.712357</v>
      </c>
      <c r="AA135" s="391">
        <f t="shared" si="109"/>
        <v>33938467150.634331</v>
      </c>
      <c r="AB135" s="391">
        <f t="shared" si="109"/>
        <v>34413605690.74321</v>
      </c>
      <c r="AC135" s="391">
        <f t="shared" si="109"/>
        <v>34895396170.413612</v>
      </c>
      <c r="AD135" s="391">
        <f t="shared" si="109"/>
        <v>35383931716.7994</v>
      </c>
      <c r="AE135" s="391">
        <f t="shared" si="109"/>
        <v>35879306760.834595</v>
      </c>
      <c r="AF135" s="392">
        <f t="shared" si="109"/>
        <v>36381617055.486282</v>
      </c>
      <c r="AG135" s="58"/>
      <c r="AH135" s="8" t="s">
        <v>25</v>
      </c>
      <c r="AI135" s="11"/>
      <c r="AJ135" s="11"/>
      <c r="AK135" s="65"/>
      <c r="AL135" s="17"/>
      <c r="AM135" s="65">
        <f t="shared" ref="AM135:BL135" si="110">AM57</f>
        <v>55389000000</v>
      </c>
      <c r="AN135" s="65">
        <f t="shared" si="110"/>
        <v>56031512400</v>
      </c>
      <c r="AO135" s="65">
        <f t="shared" si="110"/>
        <v>56681477943.840004</v>
      </c>
      <c r="AP135" s="65">
        <f t="shared" si="110"/>
        <v>57338983087.988548</v>
      </c>
      <c r="AQ135" s="65">
        <f t="shared" si="110"/>
        <v>58004115291.809219</v>
      </c>
      <c r="AR135" s="65">
        <f t="shared" si="110"/>
        <v>58676963029.194206</v>
      </c>
      <c r="AS135" s="65">
        <f t="shared" si="110"/>
        <v>59357615800.332863</v>
      </c>
      <c r="AT135" s="65">
        <f t="shared" si="110"/>
        <v>60046164143.61673</v>
      </c>
      <c r="AU135" s="65">
        <f t="shared" si="110"/>
        <v>60742699647.682686</v>
      </c>
      <c r="AV135" s="65">
        <f t="shared" si="110"/>
        <v>61447314963.59581</v>
      </c>
      <c r="AW135" s="65">
        <f t="shared" si="110"/>
        <v>62160103817.173523</v>
      </c>
      <c r="AX135" s="65">
        <f t="shared" si="110"/>
        <v>62881161021.452736</v>
      </c>
      <c r="AY135" s="65">
        <f t="shared" si="110"/>
        <v>63610582489.30159</v>
      </c>
      <c r="AZ135" s="65">
        <f t="shared" si="110"/>
        <v>64348465246.17749</v>
      </c>
      <c r="BA135" s="65">
        <f t="shared" si="110"/>
        <v>65094907443.03315</v>
      </c>
      <c r="BB135" s="65">
        <f t="shared" si="110"/>
        <v>65850008369.372337</v>
      </c>
      <c r="BC135" s="65">
        <f t="shared" si="110"/>
        <v>66613868466.457062</v>
      </c>
      <c r="BD135" s="65">
        <f t="shared" si="110"/>
        <v>67386589340.667969</v>
      </c>
      <c r="BE135" s="65">
        <f t="shared" si="110"/>
        <v>68168273777.019722</v>
      </c>
      <c r="BF135" s="65">
        <f t="shared" si="110"/>
        <v>68959025752.83316</v>
      </c>
      <c r="BG135" s="65">
        <f t="shared" si="110"/>
        <v>69758950451.566025</v>
      </c>
      <c r="BH135" s="65">
        <f t="shared" si="110"/>
        <v>70568154276.804199</v>
      </c>
      <c r="BI135" s="65">
        <f t="shared" si="110"/>
        <v>71386744866.415131</v>
      </c>
      <c r="BJ135" s="65">
        <f t="shared" si="110"/>
        <v>72214831106.865555</v>
      </c>
      <c r="BK135" s="65">
        <f t="shared" si="110"/>
        <v>73052523147.7052</v>
      </c>
      <c r="BL135" s="67">
        <f t="shared" si="110"/>
        <v>73899932416.218582</v>
      </c>
      <c r="BN135" s="84"/>
    </row>
    <row r="136" spans="2:66" x14ac:dyDescent="0.25">
      <c r="B136" s="393"/>
      <c r="C136" s="5" t="s">
        <v>268</v>
      </c>
      <c r="D136" s="5"/>
      <c r="E136" s="12"/>
      <c r="F136" s="12" t="s">
        <v>19</v>
      </c>
      <c r="G136" s="391">
        <f>'Customer Sector'!$F$71*'Customer Sector'!F70</f>
        <v>1701598173.5159817</v>
      </c>
      <c r="H136" s="391">
        <f>G136*(1+'Customer Sector'!$F$12)</f>
        <v>1725420547.9452055</v>
      </c>
      <c r="I136" s="391">
        <f>H136*(1+'Customer Sector'!$F$12)</f>
        <v>1749576435.6164384</v>
      </c>
      <c r="J136" s="391">
        <f>I136*(1+'Customer Sector'!$F$12)</f>
        <v>1774070505.7150686</v>
      </c>
      <c r="K136" s="391">
        <f>J136*(1+'Customer Sector'!$F$12)</f>
        <v>1798907492.7950795</v>
      </c>
      <c r="L136" s="391">
        <f>K136*(1+'Customer Sector'!$F$12)</f>
        <v>1824092197.6942105</v>
      </c>
      <c r="M136" s="391">
        <f>L136*(1+'Customer Sector'!$F$12)</f>
        <v>1849629488.4619296</v>
      </c>
      <c r="N136" s="391">
        <f>M136*(1+'Customer Sector'!$F$12)</f>
        <v>1875524301.3003967</v>
      </c>
      <c r="O136" s="391">
        <f>N136*(1+'Customer Sector'!$F$12)</f>
        <v>1901781641.5186024</v>
      </c>
      <c r="P136" s="391">
        <f>O136*(1+'Customer Sector'!$F$12)</f>
        <v>1928406584.4998629</v>
      </c>
      <c r="Q136" s="391">
        <f>P136*(1+'Customer Sector'!$F$12)</f>
        <v>1955404276.6828611</v>
      </c>
      <c r="R136" s="391">
        <f>Q136*(1+'Customer Sector'!$F$12)</f>
        <v>1982779936.5564213</v>
      </c>
      <c r="S136" s="391">
        <f>R136*(1+'Customer Sector'!$F$12)</f>
        <v>2010538855.6682112</v>
      </c>
      <c r="T136" s="391">
        <f>S136*(1+'Customer Sector'!$F$12)</f>
        <v>2038686399.6475663</v>
      </c>
      <c r="U136" s="391">
        <f>T136*(1+'Customer Sector'!$F$12)</f>
        <v>2067228009.2426324</v>
      </c>
      <c r="V136" s="391">
        <f>U136*(1+'Customer Sector'!$F$12)</f>
        <v>2096169201.3720293</v>
      </c>
      <c r="W136" s="391">
        <f>V136*(1+'Customer Sector'!$F$12)</f>
        <v>2125515570.1912377</v>
      </c>
      <c r="X136" s="391">
        <f>W136*(1+'Customer Sector'!$F$12)</f>
        <v>2155272788.1739149</v>
      </c>
      <c r="Y136" s="391">
        <f>X136*(1+'Customer Sector'!$F$12)</f>
        <v>2185446607.2083497</v>
      </c>
      <c r="Z136" s="391">
        <f>Y136*(1+'Customer Sector'!$F$12)</f>
        <v>2216042859.7092667</v>
      </c>
      <c r="AA136" s="391">
        <f>Z136*(1+'Customer Sector'!$F$12)</f>
        <v>2247067459.7451963</v>
      </c>
      <c r="AB136" s="391">
        <f>AA136*(1+'Customer Sector'!$F$12)</f>
        <v>2278526404.1816292</v>
      </c>
      <c r="AC136" s="391">
        <f>AB136*(1+'Customer Sector'!$F$12)</f>
        <v>2310425773.8401718</v>
      </c>
      <c r="AD136" s="391">
        <f>AC136*(1+'Customer Sector'!$F$12)</f>
        <v>2342771734.6739345</v>
      </c>
      <c r="AE136" s="391">
        <f>AD136*(1+'Customer Sector'!$F$12)</f>
        <v>2375570538.9593697</v>
      </c>
      <c r="AF136" s="392">
        <f>AE136*(1+'Customer Sector'!$F$12)</f>
        <v>2408828526.5048008</v>
      </c>
      <c r="AG136" s="58"/>
      <c r="AH136" s="8"/>
      <c r="AI136" s="11" t="s">
        <v>268</v>
      </c>
      <c r="AJ136" s="11"/>
      <c r="AK136" s="17"/>
      <c r="AL136" s="17"/>
      <c r="AM136" s="65">
        <f>AM131</f>
        <v>3667308219.1780825</v>
      </c>
      <c r="AN136" s="65">
        <f>AM136*(1+'Customer Sector'!$L$12)</f>
        <v>3709848994.5205483</v>
      </c>
      <c r="AO136" s="65">
        <f>AN136*(1+'Customer Sector'!$L$12)</f>
        <v>3752883242.856987</v>
      </c>
      <c r="AP136" s="65">
        <f>AO136*(1+'Customer Sector'!$L$12)</f>
        <v>3796416688.4741282</v>
      </c>
      <c r="AQ136" s="65">
        <f>AP136*(1+'Customer Sector'!$L$12)</f>
        <v>3840455122.0604281</v>
      </c>
      <c r="AR136" s="65">
        <f>AQ136*(1+'Customer Sector'!$L$12)</f>
        <v>3885004401.4763293</v>
      </c>
      <c r="AS136" s="65">
        <f>AR136*(1+'Customer Sector'!$L$12)</f>
        <v>3930070452.5334549</v>
      </c>
      <c r="AT136" s="65">
        <f>AS136*(1+'Customer Sector'!$L$12)</f>
        <v>3975659269.7828431</v>
      </c>
      <c r="AU136" s="65">
        <f>AT136*(1+'Customer Sector'!$L$12)</f>
        <v>4021776917.3123245</v>
      </c>
      <c r="AV136" s="65">
        <f>AU136*(1+'Customer Sector'!$L$12)</f>
        <v>4068429529.5531478</v>
      </c>
      <c r="AW136" s="65">
        <f>AV136*(1+'Customer Sector'!$L$12)</f>
        <v>4115623312.0959644</v>
      </c>
      <c r="AX136" s="65">
        <f>AW136*(1+'Customer Sector'!$L$12)</f>
        <v>4163364542.5162778</v>
      </c>
      <c r="AY136" s="65">
        <f>AX136*(1+'Customer Sector'!$L$12)</f>
        <v>4211659571.2094669</v>
      </c>
      <c r="AZ136" s="65">
        <f>AY136*(1+'Customer Sector'!$L$12)</f>
        <v>4260514822.235497</v>
      </c>
      <c r="BA136" s="65">
        <f>AZ136*(1+'Customer Sector'!$L$12)</f>
        <v>4309936794.1734285</v>
      </c>
      <c r="BB136" s="65">
        <f>BA136*(1+'Customer Sector'!$L$12)</f>
        <v>4359932060.9858408</v>
      </c>
      <c r="BC136" s="65">
        <f>BB136*(1+'Customer Sector'!$L$12)</f>
        <v>4410507272.8932772</v>
      </c>
      <c r="BD136" s="65">
        <f>BC136*(1+'Customer Sector'!$L$12)</f>
        <v>4461669157.2588396</v>
      </c>
      <c r="BE136" s="65">
        <f>BD136*(1+'Customer Sector'!$L$12)</f>
        <v>4513424519.4830427</v>
      </c>
      <c r="BF136" s="65">
        <f>BE136*(1+'Customer Sector'!$L$12)</f>
        <v>4565780243.9090462</v>
      </c>
      <c r="BG136" s="65">
        <f>BF136*(1+'Customer Sector'!$L$12)</f>
        <v>4618743294.7383909</v>
      </c>
      <c r="BH136" s="65">
        <f>BG136*(1+'Customer Sector'!$L$12)</f>
        <v>4672320716.9573565</v>
      </c>
      <c r="BI136" s="65">
        <f>BH136*(1+'Customer Sector'!$L$12)</f>
        <v>4726519637.2740622</v>
      </c>
      <c r="BJ136" s="65">
        <f>BI136*(1+'Customer Sector'!$L$12)</f>
        <v>4781347265.0664415</v>
      </c>
      <c r="BK136" s="65">
        <f>BJ136*(1+'Customer Sector'!$L$12)</f>
        <v>4836810893.3412123</v>
      </c>
      <c r="BL136" s="67">
        <f>BK136*(1+'Customer Sector'!$L$12)</f>
        <v>4892917899.7039709</v>
      </c>
    </row>
    <row r="137" spans="2:66" x14ac:dyDescent="0.25">
      <c r="B137" s="393"/>
      <c r="C137" s="5" t="s">
        <v>269</v>
      </c>
      <c r="D137" s="5"/>
      <c r="E137" s="12"/>
      <c r="F137" s="12" t="s">
        <v>19</v>
      </c>
      <c r="G137" s="391">
        <f>G135-G136</f>
        <v>23998401826.484016</v>
      </c>
      <c r="H137" s="391">
        <f>G137*(1+'Customer Sector'!$F$12)</f>
        <v>24334379452.054794</v>
      </c>
      <c r="I137" s="391">
        <f>H137*(1+'Customer Sector'!$F$12)</f>
        <v>24675060764.38356</v>
      </c>
      <c r="J137" s="391">
        <f>I137*(1+'Customer Sector'!$F$12)</f>
        <v>25020511615.08493</v>
      </c>
      <c r="K137" s="391">
        <f>J137*(1+'Customer Sector'!$F$12)</f>
        <v>25370798777.696121</v>
      </c>
      <c r="L137" s="391">
        <f>K137*(1+'Customer Sector'!$F$12)</f>
        <v>25725989960.583866</v>
      </c>
      <c r="M137" s="391">
        <f>L137*(1+'Customer Sector'!$F$12)</f>
        <v>26086153820.03204</v>
      </c>
      <c r="N137" s="391">
        <f>M137*(1+'Customer Sector'!$F$12)</f>
        <v>26451359973.512489</v>
      </c>
      <c r="O137" s="391">
        <f>N137*(1+'Customer Sector'!$F$12)</f>
        <v>26821679013.141663</v>
      </c>
      <c r="P137" s="391">
        <f>O137*(1+'Customer Sector'!$F$12)</f>
        <v>27197182519.325645</v>
      </c>
      <c r="Q137" s="391">
        <f>P137*(1+'Customer Sector'!$F$12)</f>
        <v>27577943074.596207</v>
      </c>
      <c r="R137" s="391">
        <f>Q137*(1+'Customer Sector'!$F$12)</f>
        <v>27964034277.640553</v>
      </c>
      <c r="S137" s="391">
        <f>R137*(1+'Customer Sector'!$F$12)</f>
        <v>28355530757.527519</v>
      </c>
      <c r="T137" s="391">
        <f>S137*(1+'Customer Sector'!$F$12)</f>
        <v>28752508188.132904</v>
      </c>
      <c r="U137" s="391">
        <f>T137*(1+'Customer Sector'!$F$12)</f>
        <v>29155043302.766766</v>
      </c>
      <c r="V137" s="391">
        <f>U137*(1+'Customer Sector'!$F$12)</f>
        <v>29563213909.005501</v>
      </c>
      <c r="W137" s="391">
        <f>V137*(1+'Customer Sector'!$F$12)</f>
        <v>29977098903.731579</v>
      </c>
      <c r="X137" s="391">
        <f>W137*(1+'Customer Sector'!$F$12)</f>
        <v>30396778288.38382</v>
      </c>
      <c r="Y137" s="391">
        <f>X137*(1+'Customer Sector'!$F$12)</f>
        <v>30822333184.421192</v>
      </c>
      <c r="Z137" s="391">
        <f>Y137*(1+'Customer Sector'!$F$12)</f>
        <v>31253845849.00309</v>
      </c>
      <c r="AA137" s="391">
        <f>Z137*(1+'Customer Sector'!$F$12)</f>
        <v>31691399690.889133</v>
      </c>
      <c r="AB137" s="391">
        <f>AA137*(1+'Customer Sector'!$F$12)</f>
        <v>32135079286.561581</v>
      </c>
      <c r="AC137" s="391">
        <f>AB137*(1+'Customer Sector'!$F$12)</f>
        <v>32584970396.573444</v>
      </c>
      <c r="AD137" s="391">
        <f>AC137*(1+'Customer Sector'!$F$12)</f>
        <v>33041159982.125473</v>
      </c>
      <c r="AE137" s="391">
        <f>AD137*(1+'Customer Sector'!$F$12)</f>
        <v>33503736221.875229</v>
      </c>
      <c r="AF137" s="392">
        <f>AE137*(1+'Customer Sector'!$F$12)</f>
        <v>33972788528.981483</v>
      </c>
      <c r="AG137" s="58"/>
      <c r="AH137" s="8"/>
      <c r="AI137" s="11" t="s">
        <v>269</v>
      </c>
      <c r="AJ137" s="11"/>
      <c r="AK137" s="17"/>
      <c r="AL137" s="17"/>
      <c r="AM137" s="65">
        <f>AM132</f>
        <v>51721691780.821915</v>
      </c>
      <c r="AN137" s="65">
        <f>AM137*(1+'Customer Sector'!$L$12)</f>
        <v>52321663405.479454</v>
      </c>
      <c r="AO137" s="65">
        <f>AN137*(1+'Customer Sector'!$L$12)</f>
        <v>52928594700.983017</v>
      </c>
      <c r="AP137" s="65">
        <f>AO137*(1+'Customer Sector'!$L$12)</f>
        <v>53542566399.51442</v>
      </c>
      <c r="AQ137" s="65">
        <f>AP137*(1+'Customer Sector'!$L$12)</f>
        <v>54163660169.748787</v>
      </c>
      <c r="AR137" s="65">
        <f>AQ137*(1+'Customer Sector'!$L$12)</f>
        <v>54791958627.717873</v>
      </c>
      <c r="AS137" s="65">
        <f>AR137*(1+'Customer Sector'!$L$12)</f>
        <v>55427545347.7994</v>
      </c>
      <c r="AT137" s="65">
        <f>AS137*(1+'Customer Sector'!$L$12)</f>
        <v>56070504873.833878</v>
      </c>
      <c r="AU137" s="65">
        <f>AT137*(1+'Customer Sector'!$L$12)</f>
        <v>56720922730.370354</v>
      </c>
      <c r="AV137" s="65">
        <f>AU137*(1+'Customer Sector'!$L$12)</f>
        <v>57378885434.042656</v>
      </c>
      <c r="AW137" s="65">
        <f>AV137*(1+'Customer Sector'!$L$12)</f>
        <v>58044480505.077553</v>
      </c>
      <c r="AX137" s="65">
        <f>AW137*(1+'Customer Sector'!$L$12)</f>
        <v>58717796478.936455</v>
      </c>
      <c r="AY137" s="65">
        <f>AX137*(1+'Customer Sector'!$L$12)</f>
        <v>59398922918.092117</v>
      </c>
      <c r="AZ137" s="65">
        <f>AY137*(1+'Customer Sector'!$L$12)</f>
        <v>60087950423.941986</v>
      </c>
      <c r="BA137" s="65">
        <f>AZ137*(1+'Customer Sector'!$L$12)</f>
        <v>60784970648.859718</v>
      </c>
      <c r="BB137" s="65">
        <f>BA137*(1+'Customer Sector'!$L$12)</f>
        <v>61490076308.386497</v>
      </c>
      <c r="BC137" s="65">
        <f>BB137*(1+'Customer Sector'!$L$12)</f>
        <v>62203361193.563782</v>
      </c>
      <c r="BD137" s="65">
        <f>BC137*(1+'Customer Sector'!$L$12)</f>
        <v>62924920183.409126</v>
      </c>
      <c r="BE137" s="65">
        <f>BD137*(1+'Customer Sector'!$L$12)</f>
        <v>63654849257.536674</v>
      </c>
      <c r="BF137" s="65">
        <f>BE137*(1+'Customer Sector'!$L$12)</f>
        <v>64393245508.924103</v>
      </c>
      <c r="BG137" s="65">
        <f>BF137*(1+'Customer Sector'!$L$12)</f>
        <v>65140207156.827629</v>
      </c>
      <c r="BH137" s="65">
        <f>BG137*(1+'Customer Sector'!$L$12)</f>
        <v>65895833559.846832</v>
      </c>
      <c r="BI137" s="65">
        <f>BH137*(1+'Customer Sector'!$L$12)</f>
        <v>66660225229.14106</v>
      </c>
      <c r="BJ137" s="65">
        <f>BI137*(1+'Customer Sector'!$L$12)</f>
        <v>67433483841.799103</v>
      </c>
      <c r="BK137" s="65">
        <f>BJ137*(1+'Customer Sector'!$L$12)</f>
        <v>68215712254.363976</v>
      </c>
      <c r="BL137" s="67">
        <f>BK137*(1+'Customer Sector'!$L$12)</f>
        <v>69007014516.514603</v>
      </c>
    </row>
    <row r="138" spans="2:66" x14ac:dyDescent="0.25">
      <c r="B138" s="8" t="s">
        <v>275</v>
      </c>
      <c r="C138" s="11"/>
      <c r="D138" s="11"/>
      <c r="E138" s="17"/>
      <c r="F138" s="17" t="s">
        <v>6</v>
      </c>
      <c r="G138" s="65">
        <f>G136-G131</f>
        <v>0</v>
      </c>
      <c r="H138" s="65">
        <f t="shared" ref="H138:AF138" si="111">H136-H131</f>
        <v>4627200</v>
      </c>
      <c r="I138" s="65">
        <f t="shared" si="111"/>
        <v>9360825.5999999046</v>
      </c>
      <c r="J138" s="65">
        <f t="shared" si="111"/>
        <v>14202741.561599731</v>
      </c>
      <c r="K138" s="65">
        <f t="shared" si="111"/>
        <v>19154842.126291037</v>
      </c>
      <c r="L138" s="65">
        <f t="shared" si="111"/>
        <v>24219051.458533287</v>
      </c>
      <c r="M138" s="65">
        <f t="shared" si="111"/>
        <v>29397324.095309496</v>
      </c>
      <c r="N138" s="65">
        <f t="shared" si="111"/>
        <v>34691645.402247667</v>
      </c>
      <c r="O138" s="65">
        <f t="shared" si="111"/>
        <v>40104032.036409378</v>
      </c>
      <c r="P138" s="65">
        <f t="shared" si="111"/>
        <v>45636532.415836334</v>
      </c>
      <c r="Q138" s="65">
        <f t="shared" si="111"/>
        <v>51291227.195953369</v>
      </c>
      <c r="R138" s="65">
        <f t="shared" si="111"/>
        <v>52009304.376696825</v>
      </c>
      <c r="S138" s="65">
        <f t="shared" si="111"/>
        <v>52737434.637970686</v>
      </c>
      <c r="T138" s="65">
        <f t="shared" si="111"/>
        <v>53475758.722902298</v>
      </c>
      <c r="U138" s="65">
        <f t="shared" si="111"/>
        <v>54224419.345023155</v>
      </c>
      <c r="V138" s="65">
        <f t="shared" si="111"/>
        <v>54983561.215853453</v>
      </c>
      <c r="W138" s="65">
        <f t="shared" si="111"/>
        <v>55753331.072875261</v>
      </c>
      <c r="X138" s="65">
        <f t="shared" si="111"/>
        <v>56533877.707895279</v>
      </c>
      <c r="Y138" s="65">
        <f t="shared" si="111"/>
        <v>57325351.99580574</v>
      </c>
      <c r="Z138" s="65">
        <f t="shared" si="111"/>
        <v>58127906.923747063</v>
      </c>
      <c r="AA138" s="65">
        <f t="shared" si="111"/>
        <v>58941697.620679379</v>
      </c>
      <c r="AB138" s="65">
        <f t="shared" si="111"/>
        <v>59766881.387369156</v>
      </c>
      <c r="AC138" s="65">
        <f t="shared" si="111"/>
        <v>60603617.726792336</v>
      </c>
      <c r="AD138" s="65">
        <f t="shared" si="111"/>
        <v>61452068.374967575</v>
      </c>
      <c r="AE138" s="65">
        <f t="shared" si="111"/>
        <v>62312397.332217216</v>
      </c>
      <c r="AF138" s="67">
        <f t="shared" si="111"/>
        <v>63184770.894868374</v>
      </c>
      <c r="AG138" s="58"/>
      <c r="AH138" s="8" t="s">
        <v>275</v>
      </c>
      <c r="AI138" s="11"/>
      <c r="AJ138" s="11"/>
      <c r="AK138" s="17"/>
      <c r="AL138" s="17" t="s">
        <v>6</v>
      </c>
      <c r="AM138" s="65">
        <f>AM136-AM131</f>
        <v>0</v>
      </c>
      <c r="AN138" s="65">
        <f t="shared" ref="AN138:BL138" si="112">AN136-AN131</f>
        <v>24098900</v>
      </c>
      <c r="AO138" s="65">
        <f t="shared" si="112"/>
        <v>50091973.540000439</v>
      </c>
      <c r="AP138" s="65">
        <f t="shared" si="112"/>
        <v>78109372.995164394</v>
      </c>
      <c r="AQ138" s="65">
        <f t="shared" si="112"/>
        <v>108290008.56566858</v>
      </c>
      <c r="AR138" s="65">
        <f t="shared" si="112"/>
        <v>140782135.48732328</v>
      </c>
      <c r="AS138" s="65">
        <f t="shared" si="112"/>
        <v>175743980.59036207</v>
      </c>
      <c r="AT138" s="65">
        <f t="shared" si="112"/>
        <v>213344410.84279919</v>
      </c>
      <c r="AU138" s="65">
        <f t="shared" si="112"/>
        <v>253763646.69136333</v>
      </c>
      <c r="AV138" s="65">
        <f t="shared" si="112"/>
        <v>297194023.20151758</v>
      </c>
      <c r="AW138" s="65">
        <f t="shared" si="112"/>
        <v>343840802.19916105</v>
      </c>
      <c r="AX138" s="65">
        <f t="shared" si="112"/>
        <v>347829355.5046711</v>
      </c>
      <c r="AY138" s="65">
        <f t="shared" si="112"/>
        <v>351864176.02852535</v>
      </c>
      <c r="AZ138" s="65">
        <f t="shared" si="112"/>
        <v>355945800.47045612</v>
      </c>
      <c r="BA138" s="65">
        <f t="shared" si="112"/>
        <v>360074771.75591278</v>
      </c>
      <c r="BB138" s="65">
        <f t="shared" si="112"/>
        <v>364251639.10828161</v>
      </c>
      <c r="BC138" s="65">
        <f t="shared" si="112"/>
        <v>368476958.12193823</v>
      </c>
      <c r="BD138" s="65">
        <f t="shared" si="112"/>
        <v>372751290.83615303</v>
      </c>
      <c r="BE138" s="65">
        <f t="shared" si="112"/>
        <v>377075205.8098526</v>
      </c>
      <c r="BF138" s="65">
        <f t="shared" si="112"/>
        <v>381449278.19724703</v>
      </c>
      <c r="BG138" s="65">
        <f t="shared" si="112"/>
        <v>385874089.82433462</v>
      </c>
      <c r="BH138" s="65">
        <f t="shared" si="112"/>
        <v>390350229.26629686</v>
      </c>
      <c r="BI138" s="65">
        <f t="shared" si="112"/>
        <v>394878291.92578602</v>
      </c>
      <c r="BJ138" s="65">
        <f t="shared" si="112"/>
        <v>399458880.1121254</v>
      </c>
      <c r="BK138" s="65">
        <f t="shared" si="112"/>
        <v>404092603.12142563</v>
      </c>
      <c r="BL138" s="67">
        <f t="shared" si="112"/>
        <v>408780077.31763458</v>
      </c>
    </row>
    <row r="139" spans="2:66" x14ac:dyDescent="0.25">
      <c r="B139" s="8" t="s">
        <v>276</v>
      </c>
      <c r="C139" s="11"/>
      <c r="D139" s="11"/>
      <c r="E139" s="17"/>
      <c r="F139" s="17" t="s">
        <v>19</v>
      </c>
      <c r="G139" s="65">
        <f>G137-G132</f>
        <v>0</v>
      </c>
      <c r="H139" s="65">
        <f t="shared" ref="H139:AF139" si="113">H137-H132</f>
        <v>53212800</v>
      </c>
      <c r="I139" s="65">
        <f t="shared" si="113"/>
        <v>107649494.39999771</v>
      </c>
      <c r="J139" s="65">
        <f t="shared" si="113"/>
        <v>163331527.95839691</v>
      </c>
      <c r="K139" s="65">
        <f t="shared" si="113"/>
        <v>220280684.4523468</v>
      </c>
      <c r="L139" s="65">
        <f t="shared" si="113"/>
        <v>278519091.77313232</v>
      </c>
      <c r="M139" s="65">
        <f t="shared" si="113"/>
        <v>338069227.09605789</v>
      </c>
      <c r="N139" s="65">
        <f t="shared" si="113"/>
        <v>398953922.12584686</v>
      </c>
      <c r="O139" s="65">
        <f t="shared" si="113"/>
        <v>461196368.41870499</v>
      </c>
      <c r="P139" s="65">
        <f t="shared" si="113"/>
        <v>524820122.78210831</v>
      </c>
      <c r="Q139" s="65">
        <f t="shared" si="113"/>
        <v>589849112.75345612</v>
      </c>
      <c r="R139" s="65">
        <f t="shared" si="113"/>
        <v>598107000.33200455</v>
      </c>
      <c r="S139" s="65">
        <f t="shared" si="113"/>
        <v>606480498.33665085</v>
      </c>
      <c r="T139" s="65">
        <f t="shared" si="113"/>
        <v>614971225.31336212</v>
      </c>
      <c r="U139" s="65">
        <f t="shared" si="113"/>
        <v>623580822.46775055</v>
      </c>
      <c r="V139" s="65">
        <f t="shared" si="113"/>
        <v>632310953.9822998</v>
      </c>
      <c r="W139" s="65">
        <f t="shared" si="113"/>
        <v>641163307.33805084</v>
      </c>
      <c r="X139" s="65">
        <f t="shared" si="113"/>
        <v>650139593.6407814</v>
      </c>
      <c r="Y139" s="65">
        <f t="shared" si="113"/>
        <v>659241547.95175171</v>
      </c>
      <c r="Z139" s="65">
        <f t="shared" si="113"/>
        <v>668470929.62307739</v>
      </c>
      <c r="AA139" s="65">
        <f t="shared" si="113"/>
        <v>677829522.63780212</v>
      </c>
      <c r="AB139" s="65">
        <f t="shared" si="113"/>
        <v>687319135.95473099</v>
      </c>
      <c r="AC139" s="65">
        <f t="shared" si="113"/>
        <v>696941603.85809708</v>
      </c>
      <c r="AD139" s="65">
        <f t="shared" si="113"/>
        <v>706698786.3121109</v>
      </c>
      <c r="AE139" s="65">
        <f t="shared" si="113"/>
        <v>716592569.32048035</v>
      </c>
      <c r="AF139" s="67">
        <f t="shared" si="113"/>
        <v>726624865.29096985</v>
      </c>
      <c r="AG139" s="58"/>
      <c r="AH139" s="8" t="s">
        <v>276</v>
      </c>
      <c r="AI139" s="11"/>
      <c r="AJ139" s="11"/>
      <c r="AK139" s="17"/>
      <c r="AL139" s="17" t="s">
        <v>19</v>
      </c>
      <c r="AM139" s="65">
        <f>AM137-AM132</f>
        <v>0</v>
      </c>
      <c r="AN139" s="65">
        <f t="shared" ref="AN139:BL139" si="114">AN137-AN132</f>
        <v>216890100</v>
      </c>
      <c r="AO139" s="65">
        <f t="shared" si="114"/>
        <v>450827761.86000061</v>
      </c>
      <c r="AP139" s="65">
        <f t="shared" si="114"/>
        <v>702984356.9564743</v>
      </c>
      <c r="AQ139" s="65">
        <f t="shared" si="114"/>
        <v>974610077.09101105</v>
      </c>
      <c r="AR139" s="65">
        <f t="shared" si="114"/>
        <v>1267039219.3858948</v>
      </c>
      <c r="AS139" s="65">
        <f t="shared" si="114"/>
        <v>1581695825.3132477</v>
      </c>
      <c r="AT139" s="65">
        <f t="shared" si="114"/>
        <v>1920099697.5851822</v>
      </c>
      <c r="AU139" s="65">
        <f t="shared" si="114"/>
        <v>2283872820.2222595</v>
      </c>
      <c r="AV139" s="65">
        <f t="shared" si="114"/>
        <v>2674746208.8136444</v>
      </c>
      <c r="AW139" s="65">
        <f t="shared" si="114"/>
        <v>3094567219.7924423</v>
      </c>
      <c r="AX139" s="65">
        <f t="shared" si="114"/>
        <v>3130464199.5420303</v>
      </c>
      <c r="AY139" s="65">
        <f t="shared" si="114"/>
        <v>3166777584.2567139</v>
      </c>
      <c r="AZ139" s="65">
        <f t="shared" si="114"/>
        <v>3203512204.2340851</v>
      </c>
      <c r="BA139" s="65">
        <f t="shared" si="114"/>
        <v>3240672945.8032074</v>
      </c>
      <c r="BB139" s="65">
        <f t="shared" si="114"/>
        <v>3278264751.9745255</v>
      </c>
      <c r="BC139" s="65">
        <f t="shared" si="114"/>
        <v>3316292623.097435</v>
      </c>
      <c r="BD139" s="65">
        <f t="shared" si="114"/>
        <v>3354761617.5253601</v>
      </c>
      <c r="BE139" s="65">
        <f t="shared" si="114"/>
        <v>3393676852.2886505</v>
      </c>
      <c r="BF139" s="65">
        <f t="shared" si="114"/>
        <v>3433043503.7751999</v>
      </c>
      <c r="BG139" s="65">
        <f t="shared" si="114"/>
        <v>3472866808.4189911</v>
      </c>
      <c r="BH139" s="65">
        <f t="shared" si="114"/>
        <v>3513152063.3966522</v>
      </c>
      <c r="BI139" s="65">
        <f t="shared" si="114"/>
        <v>3553904627.3320465</v>
      </c>
      <c r="BJ139" s="65">
        <f t="shared" si="114"/>
        <v>3595129921.0091019</v>
      </c>
      <c r="BK139" s="65">
        <f t="shared" si="114"/>
        <v>3636833428.0928116</v>
      </c>
      <c r="BL139" s="67">
        <f t="shared" si="114"/>
        <v>3679020695.8586884</v>
      </c>
    </row>
    <row r="140" spans="2:66" x14ac:dyDescent="0.25">
      <c r="B140" s="4" t="s">
        <v>259</v>
      </c>
      <c r="C140" s="5"/>
      <c r="D140" s="5"/>
      <c r="E140" s="5"/>
      <c r="F140" s="12" t="s">
        <v>8</v>
      </c>
      <c r="G140" s="68">
        <f t="shared" ref="G140:AF140" si="115">(G131*G142+G132*G150)/G130</f>
        <v>3.1853881278538811E-2</v>
      </c>
      <c r="H140" s="68">
        <f t="shared" si="115"/>
        <v>3.3810134111879483E-2</v>
      </c>
      <c r="I140" s="68">
        <f t="shared" si="115"/>
        <v>3.6007147866757475E-2</v>
      </c>
      <c r="J140" s="68">
        <f t="shared" si="115"/>
        <v>3.8346925948408626E-2</v>
      </c>
      <c r="K140" s="68">
        <f t="shared" si="115"/>
        <v>4.0838745367923472E-2</v>
      </c>
      <c r="L140" s="68">
        <f t="shared" si="115"/>
        <v>4.3492485971157083E-2</v>
      </c>
      <c r="M140" s="68">
        <f t="shared" si="115"/>
        <v>4.6318669612079248E-2</v>
      </c>
      <c r="N140" s="68">
        <f t="shared" si="115"/>
        <v>4.9328501871698585E-2</v>
      </c>
      <c r="O140" s="68">
        <f t="shared" si="115"/>
        <v>5.2533916487978699E-2</v>
      </c>
      <c r="P140" s="68">
        <f t="shared" si="115"/>
        <v>5.5947622672914303E-2</v>
      </c>
      <c r="Q140" s="68">
        <f t="shared" si="115"/>
        <v>5.9583155504382833E-2</v>
      </c>
      <c r="R140" s="68">
        <f t="shared" si="115"/>
        <v>6.366360209676189E-2</v>
      </c>
      <c r="S140" s="68">
        <f t="shared" si="115"/>
        <v>6.7801736233051399E-2</v>
      </c>
      <c r="T140" s="68">
        <f t="shared" si="115"/>
        <v>7.2208849088199745E-2</v>
      </c>
      <c r="U140" s="68">
        <f t="shared" si="115"/>
        <v>7.6902424278932707E-2</v>
      </c>
      <c r="V140" s="68">
        <f t="shared" si="115"/>
        <v>8.1901081857063324E-2</v>
      </c>
      <c r="W140" s="68">
        <f t="shared" si="115"/>
        <v>8.7224652177772449E-2</v>
      </c>
      <c r="X140" s="68">
        <f t="shared" si="115"/>
        <v>9.289425456932765E-2</v>
      </c>
      <c r="Y140" s="68">
        <f t="shared" si="115"/>
        <v>9.8932381116333942E-2</v>
      </c>
      <c r="Z140" s="68">
        <f t="shared" si="115"/>
        <v>0.10536298588889564</v>
      </c>
      <c r="AA140" s="68">
        <f t="shared" si="115"/>
        <v>0.11221157997167384</v>
      </c>
      <c r="AB140" s="68">
        <f t="shared" si="115"/>
        <v>0.11950533266983264</v>
      </c>
      <c r="AC140" s="68">
        <f t="shared" si="115"/>
        <v>0.12727317929337176</v>
      </c>
      <c r="AD140" s="68">
        <f t="shared" si="115"/>
        <v>0.13554593594744091</v>
      </c>
      <c r="AE140" s="68">
        <f t="shared" si="115"/>
        <v>0.14435642178402461</v>
      </c>
      <c r="AF140" s="69">
        <f t="shared" si="115"/>
        <v>0.15373958919998618</v>
      </c>
      <c r="AH140" s="4" t="s">
        <v>259</v>
      </c>
      <c r="AI140" s="5"/>
      <c r="AJ140" s="5"/>
      <c r="AK140" s="5"/>
      <c r="AL140" s="12" t="s">
        <v>8</v>
      </c>
      <c r="AM140" s="68">
        <f t="shared" ref="AM140:BL140" si="116">(AM131*AM142+AM132*AM150)/AM130</f>
        <v>3.1853881278538811E-2</v>
      </c>
      <c r="AN140" s="68">
        <f t="shared" si="116"/>
        <v>3.3859307136139945E-2</v>
      </c>
      <c r="AO140" s="68">
        <f t="shared" si="116"/>
        <v>3.605137541453951E-2</v>
      </c>
      <c r="AP140" s="68">
        <f t="shared" si="116"/>
        <v>3.8384751242058736E-2</v>
      </c>
      <c r="AQ140" s="68">
        <f t="shared" si="116"/>
        <v>4.0868455610646684E-2</v>
      </c>
      <c r="AR140" s="68">
        <f t="shared" si="116"/>
        <v>4.3512071720708846E-2</v>
      </c>
      <c r="AS140" s="68">
        <f t="shared" si="116"/>
        <v>4.6325777693526075E-2</v>
      </c>
      <c r="AT140" s="68">
        <f t="shared" si="116"/>
        <v>4.9320380743476895E-2</v>
      </c>
      <c r="AU140" s="68">
        <f t="shared" si="116"/>
        <v>5.2507352775845353E-2</v>
      </c>
      <c r="AV140" s="68">
        <f t="shared" si="116"/>
        <v>5.5898867345686144E-2</v>
      </c>
      <c r="AW140" s="68">
        <f t="shared" si="116"/>
        <v>5.9507837874063059E-2</v>
      </c>
      <c r="AX140" s="68">
        <f t="shared" si="116"/>
        <v>6.3569979735254786E-2</v>
      </c>
      <c r="AY140" s="68">
        <f t="shared" si="116"/>
        <v>6.7702028418046345E-2</v>
      </c>
      <c r="AZ140" s="68">
        <f t="shared" si="116"/>
        <v>7.2102660265219359E-2</v>
      </c>
      <c r="BA140" s="68">
        <f t="shared" si="116"/>
        <v>7.6789333182458591E-2</v>
      </c>
      <c r="BB140" s="68">
        <f t="shared" si="116"/>
        <v>8.1780639839318395E-2</v>
      </c>
      <c r="BC140" s="68">
        <f t="shared" si="116"/>
        <v>8.709638142887409E-2</v>
      </c>
      <c r="BD140" s="68">
        <f t="shared" si="116"/>
        <v>9.2757646221750895E-2</v>
      </c>
      <c r="BE140" s="68">
        <f t="shared" si="116"/>
        <v>9.8786893226164713E-2</v>
      </c>
      <c r="BF140" s="68">
        <f t="shared" si="116"/>
        <v>0.1052080412858654</v>
      </c>
      <c r="BG140" s="68">
        <f t="shared" si="116"/>
        <v>0.11204656396944666</v>
      </c>
      <c r="BH140" s="68">
        <f t="shared" si="116"/>
        <v>0.11932959062746067</v>
      </c>
      <c r="BI140" s="68">
        <f t="shared" si="116"/>
        <v>0.12708601401824562</v>
      </c>
      <c r="BJ140" s="68">
        <f t="shared" si="116"/>
        <v>0.13534660492943157</v>
      </c>
      <c r="BK140" s="68">
        <f t="shared" si="116"/>
        <v>0.14414413424984462</v>
      </c>
      <c r="BL140" s="69">
        <f t="shared" si="116"/>
        <v>0.15351350297608451</v>
      </c>
    </row>
    <row r="141" spans="2:66" x14ac:dyDescent="0.25">
      <c r="B141" s="4"/>
      <c r="C141" s="5" t="s">
        <v>258</v>
      </c>
      <c r="D141" s="5"/>
      <c r="E141" s="5"/>
      <c r="F141" s="12" t="s">
        <v>19</v>
      </c>
      <c r="G141" s="68">
        <f t="shared" ref="G141:AF141" si="117">(G143*G136+G151*G137)/G135</f>
        <v>3.1853881278538811E-2</v>
      </c>
      <c r="H141" s="68">
        <f t="shared" si="117"/>
        <v>3.3924383561643838E-2</v>
      </c>
      <c r="I141" s="68">
        <f t="shared" si="117"/>
        <v>3.6129468493150678E-2</v>
      </c>
      <c r="J141" s="68">
        <f t="shared" si="117"/>
        <v>3.8477883945205474E-2</v>
      </c>
      <c r="K141" s="68">
        <f t="shared" si="117"/>
        <v>4.0978946401643825E-2</v>
      </c>
      <c r="L141" s="68">
        <f t="shared" si="117"/>
        <v>4.3642577917750669E-2</v>
      </c>
      <c r="M141" s="68">
        <f t="shared" si="117"/>
        <v>4.6479345482404462E-2</v>
      </c>
      <c r="N141" s="68">
        <f t="shared" si="117"/>
        <v>4.9500502938760751E-2</v>
      </c>
      <c r="O141" s="68">
        <f t="shared" si="117"/>
        <v>5.2718035629780197E-2</v>
      </c>
      <c r="P141" s="68">
        <f t="shared" si="117"/>
        <v>5.6144707945715897E-2</v>
      </c>
      <c r="Q141" s="68">
        <f t="shared" si="117"/>
        <v>5.9794113962187437E-2</v>
      </c>
      <c r="R141" s="68">
        <f t="shared" si="117"/>
        <v>6.3680731369729612E-2</v>
      </c>
      <c r="S141" s="68">
        <f t="shared" si="117"/>
        <v>6.7819978908762027E-2</v>
      </c>
      <c r="T141" s="68">
        <f t="shared" si="117"/>
        <v>7.2228277537831551E-2</v>
      </c>
      <c r="U141" s="68">
        <f t="shared" si="117"/>
        <v>7.6923115577790593E-2</v>
      </c>
      <c r="V141" s="68">
        <f t="shared" si="117"/>
        <v>8.1923118090346969E-2</v>
      </c>
      <c r="W141" s="68">
        <f t="shared" si="117"/>
        <v>8.7248120766219531E-2</v>
      </c>
      <c r="X141" s="68">
        <f t="shared" si="117"/>
        <v>9.2919248616023797E-2</v>
      </c>
      <c r="Y141" s="68">
        <f t="shared" si="117"/>
        <v>9.8958999776065329E-2</v>
      </c>
      <c r="Z141" s="68">
        <f t="shared" si="117"/>
        <v>0.10539133476150958</v>
      </c>
      <c r="AA141" s="68">
        <f t="shared" si="117"/>
        <v>0.1122417715210077</v>
      </c>
      <c r="AB141" s="68">
        <f t="shared" si="117"/>
        <v>0.11953748666987321</v>
      </c>
      <c r="AC141" s="68">
        <f t="shared" si="117"/>
        <v>0.12730742330341496</v>
      </c>
      <c r="AD141" s="68">
        <f t="shared" si="117"/>
        <v>0.13558240581813696</v>
      </c>
      <c r="AE141" s="68">
        <f t="shared" si="117"/>
        <v>0.14439526219631582</v>
      </c>
      <c r="AF141" s="69">
        <f t="shared" si="117"/>
        <v>0.15378095423907637</v>
      </c>
      <c r="AH141" s="4"/>
      <c r="AI141" s="5" t="s">
        <v>258</v>
      </c>
      <c r="AJ141" s="5"/>
      <c r="AK141" s="5"/>
      <c r="AL141" s="12"/>
      <c r="AM141" s="68">
        <f t="shared" ref="AM141:BL141" si="118">(AM143*AM136+AM151*AM137)/AM135</f>
        <v>3.1853881278538811E-2</v>
      </c>
      <c r="AN141" s="68">
        <f t="shared" si="118"/>
        <v>3.3924383561643838E-2</v>
      </c>
      <c r="AO141" s="68">
        <f t="shared" si="118"/>
        <v>3.6129468493150678E-2</v>
      </c>
      <c r="AP141" s="68">
        <f t="shared" si="118"/>
        <v>3.8477883945205467E-2</v>
      </c>
      <c r="AQ141" s="68">
        <f t="shared" si="118"/>
        <v>4.0978946401643825E-2</v>
      </c>
      <c r="AR141" s="68">
        <f t="shared" si="118"/>
        <v>4.3642577917750669E-2</v>
      </c>
      <c r="AS141" s="68">
        <f t="shared" si="118"/>
        <v>4.6479345482404462E-2</v>
      </c>
      <c r="AT141" s="68">
        <f t="shared" si="118"/>
        <v>4.9500502938760738E-2</v>
      </c>
      <c r="AU141" s="68">
        <f t="shared" si="118"/>
        <v>5.271803562978019E-2</v>
      </c>
      <c r="AV141" s="68">
        <f t="shared" si="118"/>
        <v>5.6144707945715903E-2</v>
      </c>
      <c r="AW141" s="68">
        <f t="shared" si="118"/>
        <v>5.979411396218743E-2</v>
      </c>
      <c r="AX141" s="68">
        <f t="shared" si="118"/>
        <v>6.3680731369729612E-2</v>
      </c>
      <c r="AY141" s="68">
        <f t="shared" si="118"/>
        <v>6.7819978908762027E-2</v>
      </c>
      <c r="AZ141" s="68">
        <f t="shared" si="118"/>
        <v>7.2228277537831551E-2</v>
      </c>
      <c r="BA141" s="68">
        <f t="shared" si="118"/>
        <v>7.6923115577790593E-2</v>
      </c>
      <c r="BB141" s="68">
        <f t="shared" si="118"/>
        <v>8.1923118090346969E-2</v>
      </c>
      <c r="BC141" s="68">
        <f t="shared" si="118"/>
        <v>8.7248120766219545E-2</v>
      </c>
      <c r="BD141" s="68">
        <f t="shared" si="118"/>
        <v>9.2919248616023797E-2</v>
      </c>
      <c r="BE141" s="68">
        <f t="shared" si="118"/>
        <v>9.8958999776065343E-2</v>
      </c>
      <c r="BF141" s="68">
        <f t="shared" si="118"/>
        <v>0.10539133476150957</v>
      </c>
      <c r="BG141" s="68">
        <f t="shared" si="118"/>
        <v>0.1122417715210077</v>
      </c>
      <c r="BH141" s="68">
        <f t="shared" si="118"/>
        <v>0.11953748666987318</v>
      </c>
      <c r="BI141" s="68">
        <f t="shared" si="118"/>
        <v>0.12730742330341493</v>
      </c>
      <c r="BJ141" s="68">
        <f t="shared" si="118"/>
        <v>0.13558240581813688</v>
      </c>
      <c r="BK141" s="68">
        <f t="shared" si="118"/>
        <v>0.14439526219631579</v>
      </c>
      <c r="BL141" s="69">
        <f t="shared" si="118"/>
        <v>0.15378095423907634</v>
      </c>
    </row>
    <row r="142" spans="2:66" x14ac:dyDescent="0.25">
      <c r="B142" s="4"/>
      <c r="C142" s="51" t="s">
        <v>260</v>
      </c>
      <c r="D142" s="51"/>
      <c r="E142" s="51"/>
      <c r="F142" s="52" t="s">
        <v>8</v>
      </c>
      <c r="G142" s="53">
        <f>'Customer Sector'!F75</f>
        <v>5.8000000000000003E-2</v>
      </c>
      <c r="H142" s="53">
        <f t="shared" ref="H142:AF142" si="119">H148/H131</f>
        <v>6.0386795824529306E-2</v>
      </c>
      <c r="I142" s="53">
        <f t="shared" si="119"/>
        <v>6.431526867891986E-2</v>
      </c>
      <c r="J142" s="53">
        <f t="shared" si="119"/>
        <v>6.8499310244754363E-2</v>
      </c>
      <c r="K142" s="53">
        <f t="shared" si="119"/>
        <v>7.2955546705881572E-2</v>
      </c>
      <c r="L142" s="53">
        <f t="shared" si="119"/>
        <v>7.7701685872421669E-2</v>
      </c>
      <c r="M142" s="53">
        <f t="shared" si="119"/>
        <v>8.2756587546367541E-2</v>
      </c>
      <c r="N142" s="53">
        <f t="shared" si="119"/>
        <v>8.8140338464818058E-2</v>
      </c>
      <c r="O142" s="53">
        <f t="shared" si="119"/>
        <v>9.3874332118638423E-2</v>
      </c>
      <c r="P142" s="53">
        <f t="shared" si="119"/>
        <v>9.9981353763715225E-2</v>
      </c>
      <c r="Q142" s="53">
        <f t="shared" si="119"/>
        <v>0.10648567096260714</v>
      </c>
      <c r="R142" s="53">
        <f t="shared" si="119"/>
        <v>0.11595078122968831</v>
      </c>
      <c r="S142" s="53">
        <f t="shared" si="119"/>
        <v>0.12348758200961804</v>
      </c>
      <c r="T142" s="53">
        <f t="shared" si="119"/>
        <v>0.13151427484024319</v>
      </c>
      <c r="U142" s="53">
        <f t="shared" si="119"/>
        <v>0.14006270270485899</v>
      </c>
      <c r="V142" s="53">
        <f t="shared" si="119"/>
        <v>0.1491667783806748</v>
      </c>
      <c r="W142" s="53">
        <f t="shared" si="119"/>
        <v>0.15886261897541867</v>
      </c>
      <c r="X142" s="53">
        <f t="shared" si="119"/>
        <v>0.16918868920882088</v>
      </c>
      <c r="Y142" s="53">
        <f t="shared" si="119"/>
        <v>0.18018595400739423</v>
      </c>
      <c r="Z142" s="53">
        <f t="shared" si="119"/>
        <v>0.19189804101787486</v>
      </c>
      <c r="AA142" s="53">
        <f t="shared" si="119"/>
        <v>0.20437141368403672</v>
      </c>
      <c r="AB142" s="53">
        <f t="shared" si="119"/>
        <v>0.21765555557349908</v>
      </c>
      <c r="AC142" s="53">
        <f t="shared" si="119"/>
        <v>0.23180316668577652</v>
      </c>
      <c r="AD142" s="53">
        <f t="shared" si="119"/>
        <v>0.24687037252035199</v>
      </c>
      <c r="AE142" s="53">
        <f t="shared" si="119"/>
        <v>0.26291694673417487</v>
      </c>
      <c r="AF142" s="54">
        <f t="shared" si="119"/>
        <v>0.28000654827189625</v>
      </c>
      <c r="AH142" s="4"/>
      <c r="AI142" s="51" t="s">
        <v>260</v>
      </c>
      <c r="AJ142" s="51"/>
      <c r="AK142" s="51"/>
      <c r="AL142" s="52" t="s">
        <v>8</v>
      </c>
      <c r="AM142" s="53">
        <f>'Customer Sector'!L75</f>
        <v>5.8000000000000003E-2</v>
      </c>
      <c r="AN142" s="53">
        <f t="shared" ref="AN142:BL142" si="120">AN148/AN131</f>
        <v>6.1477537470160409E-2</v>
      </c>
      <c r="AO142" s="53">
        <f t="shared" si="120"/>
        <v>6.5454238259789244E-2</v>
      </c>
      <c r="AP142" s="53">
        <f t="shared" si="120"/>
        <v>6.9686727341817786E-2</v>
      </c>
      <c r="AQ142" s="53">
        <f t="shared" si="120"/>
        <v>7.4191232334226725E-2</v>
      </c>
      <c r="AR142" s="53">
        <f t="shared" si="120"/>
        <v>7.8984971911965351E-2</v>
      </c>
      <c r="AS142" s="53">
        <f t="shared" si="120"/>
        <v>8.4086208957404748E-2</v>
      </c>
      <c r="AT142" s="53">
        <f t="shared" si="120"/>
        <v>8.9514304922619262E-2</v>
      </c>
      <c r="AU142" s="53">
        <f t="shared" si="120"/>
        <v>9.5289774974054761E-2</v>
      </c>
      <c r="AV142" s="53">
        <f t="shared" si="120"/>
        <v>0.10143434333074154</v>
      </c>
      <c r="AW142" s="53">
        <f t="shared" si="120"/>
        <v>0.1079709979986983</v>
      </c>
      <c r="AX142" s="53">
        <f t="shared" si="120"/>
        <v>0.11595078122968831</v>
      </c>
      <c r="AY142" s="53">
        <f t="shared" si="120"/>
        <v>0.12348758200961804</v>
      </c>
      <c r="AZ142" s="53">
        <f t="shared" si="120"/>
        <v>0.13151427484024319</v>
      </c>
      <c r="BA142" s="53">
        <f t="shared" si="120"/>
        <v>0.14006270270485899</v>
      </c>
      <c r="BB142" s="53">
        <f t="shared" si="120"/>
        <v>0.14916677838067482</v>
      </c>
      <c r="BC142" s="53">
        <f t="shared" si="120"/>
        <v>0.15886261897541867</v>
      </c>
      <c r="BD142" s="53">
        <f t="shared" si="120"/>
        <v>0.16918868920882088</v>
      </c>
      <c r="BE142" s="53">
        <f t="shared" si="120"/>
        <v>0.18018595400739423</v>
      </c>
      <c r="BF142" s="53">
        <f t="shared" si="120"/>
        <v>0.19189804101787486</v>
      </c>
      <c r="BG142" s="53">
        <f t="shared" si="120"/>
        <v>0.20437141368403672</v>
      </c>
      <c r="BH142" s="53">
        <f t="shared" si="120"/>
        <v>0.21765555557349908</v>
      </c>
      <c r="BI142" s="53">
        <f t="shared" si="120"/>
        <v>0.23180316668577652</v>
      </c>
      <c r="BJ142" s="53">
        <f t="shared" si="120"/>
        <v>0.24687037252035196</v>
      </c>
      <c r="BK142" s="53">
        <f t="shared" si="120"/>
        <v>0.26291694673417487</v>
      </c>
      <c r="BL142" s="54">
        <f t="shared" si="120"/>
        <v>0.28000654827189625</v>
      </c>
    </row>
    <row r="143" spans="2:66" x14ac:dyDescent="0.25">
      <c r="B143" s="4"/>
      <c r="C143" s="51"/>
      <c r="D143" s="51" t="s">
        <v>262</v>
      </c>
      <c r="E143" s="51"/>
      <c r="F143" s="52" t="s">
        <v>19</v>
      </c>
      <c r="G143" s="53">
        <f>G142</f>
        <v>5.8000000000000003E-2</v>
      </c>
      <c r="H143" s="273">
        <f>G143*(1+'Customer Sector'!$F$42)</f>
        <v>6.1769999999999999E-2</v>
      </c>
      <c r="I143" s="273">
        <f>H143*(1+'Customer Sector'!$F$42)</f>
        <v>6.5785049999999998E-2</v>
      </c>
      <c r="J143" s="273">
        <f>I143*(1+'Customer Sector'!$F$42)</f>
        <v>7.0061078249999992E-2</v>
      </c>
      <c r="K143" s="273">
        <f>J143*(1+'Customer Sector'!$F$42)</f>
        <v>7.4615048336249989E-2</v>
      </c>
      <c r="L143" s="273">
        <f>K143*(1+'Customer Sector'!$F$42)</f>
        <v>7.9465026478106229E-2</v>
      </c>
      <c r="M143" s="273">
        <f>L143*(1+'Customer Sector'!$F$42)</f>
        <v>8.4630253199183131E-2</v>
      </c>
      <c r="N143" s="273">
        <f>M143*(1+'Customer Sector'!$F$42)</f>
        <v>9.0131219657130029E-2</v>
      </c>
      <c r="O143" s="273">
        <f>N143*(1+'Customer Sector'!$F$42)</f>
        <v>9.598974893484348E-2</v>
      </c>
      <c r="P143" s="273">
        <f>O143*(1+'Customer Sector'!$F$42)</f>
        <v>0.1022290826156083</v>
      </c>
      <c r="Q143" s="273">
        <f>P143*(1+'Customer Sector'!$F$42)</f>
        <v>0.10887397298562283</v>
      </c>
      <c r="R143" s="273">
        <f>Q143*(1+'Customer Sector'!$F$42)</f>
        <v>0.11595078122968831</v>
      </c>
      <c r="S143" s="273">
        <f>R143*(1+'Customer Sector'!$F$42)</f>
        <v>0.12348758200961804</v>
      </c>
      <c r="T143" s="273">
        <f>S143*(1+'Customer Sector'!$F$42)</f>
        <v>0.13151427484024319</v>
      </c>
      <c r="U143" s="273">
        <f>T143*(1+'Customer Sector'!$F$42)</f>
        <v>0.14006270270485899</v>
      </c>
      <c r="V143" s="273">
        <f>U143*(1+'Customer Sector'!$F$42)</f>
        <v>0.14916677838067482</v>
      </c>
      <c r="W143" s="273">
        <f>V143*(1+'Customer Sector'!$F$42)</f>
        <v>0.15886261897541867</v>
      </c>
      <c r="X143" s="273">
        <f>W143*(1+'Customer Sector'!$F$42)</f>
        <v>0.16918868920882088</v>
      </c>
      <c r="Y143" s="273">
        <f>X143*(1+'Customer Sector'!$F$42)</f>
        <v>0.18018595400739423</v>
      </c>
      <c r="Z143" s="273">
        <f>Y143*(1+'Customer Sector'!$F$42)</f>
        <v>0.19189804101787486</v>
      </c>
      <c r="AA143" s="273">
        <f>Z143*(1+'Customer Sector'!$F$42)</f>
        <v>0.20437141368403672</v>
      </c>
      <c r="AB143" s="273">
        <f>AA143*(1+'Customer Sector'!$F$42)</f>
        <v>0.21765555557349908</v>
      </c>
      <c r="AC143" s="273">
        <f>AB143*(1+'Customer Sector'!$F$42)</f>
        <v>0.23180316668577652</v>
      </c>
      <c r="AD143" s="273">
        <f>AC143*(1+'Customer Sector'!$F$42)</f>
        <v>0.24687037252035199</v>
      </c>
      <c r="AE143" s="269">
        <f>AD143*(1+'Customer Sector'!$F$42)</f>
        <v>0.26291694673417487</v>
      </c>
      <c r="AF143" s="270">
        <f>AE143*(1+'Customer Sector'!$F$42)</f>
        <v>0.28000654827189625</v>
      </c>
      <c r="AH143" s="4"/>
      <c r="AI143" s="51"/>
      <c r="AJ143" s="51" t="s">
        <v>262</v>
      </c>
      <c r="AK143" s="51"/>
      <c r="AL143" s="52" t="s">
        <v>19</v>
      </c>
      <c r="AM143" s="53">
        <f>AM142</f>
        <v>5.8000000000000003E-2</v>
      </c>
      <c r="AN143" s="53">
        <f>AM143*(1+'Customer Sector'!$L$42)</f>
        <v>6.1769999999999999E-2</v>
      </c>
      <c r="AO143" s="53">
        <f>AN143*(1+'Customer Sector'!$L$42)</f>
        <v>6.5785049999999998E-2</v>
      </c>
      <c r="AP143" s="53">
        <f>AO143*(1+'Customer Sector'!$L$42)</f>
        <v>7.0061078249999992E-2</v>
      </c>
      <c r="AQ143" s="53">
        <f>AP143*(1+'Customer Sector'!$L$42)</f>
        <v>7.4615048336249989E-2</v>
      </c>
      <c r="AR143" s="53">
        <f>AQ143*(1+'Customer Sector'!$L$42)</f>
        <v>7.9465026478106229E-2</v>
      </c>
      <c r="AS143" s="53">
        <f>AR143*(1+'Customer Sector'!$L$42)</f>
        <v>8.4630253199183131E-2</v>
      </c>
      <c r="AT143" s="53">
        <f>AS143*(1+'Customer Sector'!$L$42)</f>
        <v>9.0131219657130029E-2</v>
      </c>
      <c r="AU143" s="53">
        <f>AT143*(1+'Customer Sector'!$L$42)</f>
        <v>9.598974893484348E-2</v>
      </c>
      <c r="AV143" s="53">
        <f>AU143*(1+'Customer Sector'!$L$42)</f>
        <v>0.1022290826156083</v>
      </c>
      <c r="AW143" s="53">
        <f>AV143*(1+'Customer Sector'!$L$42)</f>
        <v>0.10887397298562283</v>
      </c>
      <c r="AX143" s="53">
        <f>AW143*(1+'Customer Sector'!$L$42)</f>
        <v>0.11595078122968831</v>
      </c>
      <c r="AY143" s="53">
        <f>AX143*(1+'Customer Sector'!$L$42)</f>
        <v>0.12348758200961804</v>
      </c>
      <c r="AZ143" s="53">
        <f>AY143*(1+'Customer Sector'!$L$42)</f>
        <v>0.13151427484024319</v>
      </c>
      <c r="BA143" s="53">
        <f>AZ143*(1+'Customer Sector'!$L$42)</f>
        <v>0.14006270270485899</v>
      </c>
      <c r="BB143" s="53">
        <f>BA143*(1+'Customer Sector'!$L$42)</f>
        <v>0.14916677838067482</v>
      </c>
      <c r="BC143" s="53">
        <f>BB143*(1+'Customer Sector'!$L$42)</f>
        <v>0.15886261897541867</v>
      </c>
      <c r="BD143" s="53">
        <f>BC143*(1+'Customer Sector'!$L$42)</f>
        <v>0.16918868920882088</v>
      </c>
      <c r="BE143" s="53">
        <f>BD143*(1+'Customer Sector'!$L$42)</f>
        <v>0.18018595400739423</v>
      </c>
      <c r="BF143" s="53">
        <f>BE143*(1+'Customer Sector'!$L$42)</f>
        <v>0.19189804101787486</v>
      </c>
      <c r="BG143" s="53">
        <f>BF143*(1+'Customer Sector'!$L$42)</f>
        <v>0.20437141368403672</v>
      </c>
      <c r="BH143" s="53">
        <f>BG143*(1+'Customer Sector'!$L$42)</f>
        <v>0.21765555557349908</v>
      </c>
      <c r="BI143" s="53">
        <f>BH143*(1+'Customer Sector'!$L$42)</f>
        <v>0.23180316668577652</v>
      </c>
      <c r="BJ143" s="53">
        <f>BI143*(1+'Customer Sector'!$L$42)</f>
        <v>0.24687037252035199</v>
      </c>
      <c r="BK143" s="53">
        <f>BJ143*(1+'Customer Sector'!$L$42)</f>
        <v>0.26291694673417487</v>
      </c>
      <c r="BL143" s="54">
        <f>BK143*(1+'Customer Sector'!$L$42)</f>
        <v>0.28000654827189625</v>
      </c>
    </row>
    <row r="144" spans="2:66" x14ac:dyDescent="0.25">
      <c r="B144" s="4"/>
      <c r="C144" s="51"/>
      <c r="D144" s="51" t="s">
        <v>84</v>
      </c>
      <c r="E144" s="51"/>
      <c r="F144" s="52" t="s">
        <v>19</v>
      </c>
      <c r="G144" s="53">
        <f>'Customer Sector'!F76</f>
        <v>0.1</v>
      </c>
      <c r="H144" s="53">
        <f>G144*(1+'Customer Sector'!$F$42)</f>
        <v>0.1065</v>
      </c>
      <c r="I144" s="53">
        <f>H144*(1+'Customer Sector'!$F$42)</f>
        <v>0.1134225</v>
      </c>
      <c r="J144" s="53">
        <f>I144*(1+'Customer Sector'!$F$42)</f>
        <v>0.12079496249999999</v>
      </c>
      <c r="K144" s="53">
        <f>J144*(1+'Customer Sector'!$F$42)</f>
        <v>0.12864663506249999</v>
      </c>
      <c r="L144" s="53">
        <f>K144*(1+'Customer Sector'!$F$42)</f>
        <v>0.13700866634156247</v>
      </c>
      <c r="M144" s="53">
        <f>L144*(1+'Customer Sector'!$F$42)</f>
        <v>0.14591422965376402</v>
      </c>
      <c r="N144" s="53">
        <f>M144*(1+'Customer Sector'!$F$42)</f>
        <v>0.15539865458125868</v>
      </c>
      <c r="O144" s="53">
        <f>N144*(1+'Customer Sector'!$F$42)</f>
        <v>0.16549956712904049</v>
      </c>
      <c r="P144" s="53">
        <f>O144*(1+'Customer Sector'!$F$42)</f>
        <v>0.17625703899242812</v>
      </c>
      <c r="Q144" s="53">
        <f>P144*(1+'Customer Sector'!$F$42)</f>
        <v>0.18771374652693593</v>
      </c>
      <c r="R144" s="53">
        <f>Q144*(1+'Customer Sector'!$F$42)</f>
        <v>0.19991514005118674</v>
      </c>
      <c r="S144" s="53">
        <f>R144*(1+'Customer Sector'!$F$42)</f>
        <v>0.21290962415451387</v>
      </c>
      <c r="T144" s="53">
        <f>S144*(1+'Customer Sector'!$F$42)</f>
        <v>0.22674874972455725</v>
      </c>
      <c r="U144" s="53">
        <f>T144*(1+'Customer Sector'!$F$42)</f>
        <v>0.24148741845665345</v>
      </c>
      <c r="V144" s="53">
        <f>U144*(1+'Customer Sector'!$F$42)</f>
        <v>0.2571841006563359</v>
      </c>
      <c r="W144" s="53">
        <f>V144*(1+'Customer Sector'!$F$42)</f>
        <v>0.27390106719899771</v>
      </c>
      <c r="X144" s="53">
        <f>W144*(1+'Customer Sector'!$F$42)</f>
        <v>0.29170463656693252</v>
      </c>
      <c r="Y144" s="53">
        <f>X144*(1+'Customer Sector'!$F$42)</f>
        <v>0.3106654379437831</v>
      </c>
      <c r="Z144" s="53">
        <f>Y144*(1+'Customer Sector'!$F$42)</f>
        <v>0.33085869141012897</v>
      </c>
      <c r="AA144" s="53">
        <f>Z144*(1+'Customer Sector'!$F$42)</f>
        <v>0.35236450635178734</v>
      </c>
      <c r="AB144" s="53">
        <f>AA144*(1+'Customer Sector'!$F$42)</f>
        <v>0.37526819926465349</v>
      </c>
      <c r="AC144" s="53">
        <f>AB144*(1+'Customer Sector'!$F$42)</f>
        <v>0.39966063221685594</v>
      </c>
      <c r="AD144" s="53">
        <f>AC144*(1+'Customer Sector'!$F$42)</f>
        <v>0.42563857331095156</v>
      </c>
      <c r="AE144" s="53">
        <f>AD144*(1+'Customer Sector'!$F$42)</f>
        <v>0.45330508057616337</v>
      </c>
      <c r="AF144" s="54">
        <f>AE144*(1+'Customer Sector'!$F$42)</f>
        <v>0.48276991081361398</v>
      </c>
      <c r="AH144" s="4"/>
      <c r="AI144" s="51"/>
      <c r="AJ144" s="51" t="s">
        <v>84</v>
      </c>
      <c r="AK144" s="51"/>
      <c r="AL144" s="52" t="s">
        <v>19</v>
      </c>
      <c r="AM144" s="53">
        <f>'Customer Sector'!L76</f>
        <v>0.1</v>
      </c>
      <c r="AN144" s="53">
        <f>AM144*(1+'Customer Sector'!$L$42)</f>
        <v>0.1065</v>
      </c>
      <c r="AO144" s="53">
        <f>AN144*(1+'Customer Sector'!$L$42)</f>
        <v>0.1134225</v>
      </c>
      <c r="AP144" s="53">
        <f>AO144*(1+'Customer Sector'!$L$42)</f>
        <v>0.12079496249999999</v>
      </c>
      <c r="AQ144" s="53">
        <f>AP144*(1+'Customer Sector'!$L$42)</f>
        <v>0.12864663506249999</v>
      </c>
      <c r="AR144" s="53">
        <f>AQ144*(1+'Customer Sector'!$L$42)</f>
        <v>0.13700866634156247</v>
      </c>
      <c r="AS144" s="53">
        <f>AR144*(1+'Customer Sector'!$L$42)</f>
        <v>0.14591422965376402</v>
      </c>
      <c r="AT144" s="53">
        <f>AS144*(1+'Customer Sector'!$L$42)</f>
        <v>0.15539865458125868</v>
      </c>
      <c r="AU144" s="53">
        <f>AT144*(1+'Customer Sector'!$L$42)</f>
        <v>0.16549956712904049</v>
      </c>
      <c r="AV144" s="53">
        <f>AU144*(1+'Customer Sector'!$L$42)</f>
        <v>0.17625703899242812</v>
      </c>
      <c r="AW144" s="53">
        <f>AV144*(1+'Customer Sector'!$L$42)</f>
        <v>0.18771374652693593</v>
      </c>
      <c r="AX144" s="53">
        <f>AW144*(1+'Customer Sector'!$L$42)</f>
        <v>0.19991514005118674</v>
      </c>
      <c r="AY144" s="53">
        <f>AX144*(1+'Customer Sector'!$L$42)</f>
        <v>0.21290962415451387</v>
      </c>
      <c r="AZ144" s="53">
        <f>AY144*(1+'Customer Sector'!$L$42)</f>
        <v>0.22674874972455725</v>
      </c>
      <c r="BA144" s="53">
        <f>AZ144*(1+'Customer Sector'!$L$42)</f>
        <v>0.24148741845665345</v>
      </c>
      <c r="BB144" s="53">
        <f>BA144*(1+'Customer Sector'!$L$42)</f>
        <v>0.2571841006563359</v>
      </c>
      <c r="BC144" s="53">
        <f>BB144*(1+'Customer Sector'!$L$42)</f>
        <v>0.27390106719899771</v>
      </c>
      <c r="BD144" s="53">
        <f>BC144*(1+'Customer Sector'!$L$42)</f>
        <v>0.29170463656693252</v>
      </c>
      <c r="BE144" s="53">
        <f>BD144*(1+'Customer Sector'!$L$42)</f>
        <v>0.3106654379437831</v>
      </c>
      <c r="BF144" s="53">
        <f>BE144*(1+'Customer Sector'!$L$42)</f>
        <v>0.33085869141012897</v>
      </c>
      <c r="BG144" s="53">
        <f>BF144*(1+'Customer Sector'!$L$42)</f>
        <v>0.35236450635178734</v>
      </c>
      <c r="BH144" s="53">
        <f>BG144*(1+'Customer Sector'!$L$42)</f>
        <v>0.37526819926465349</v>
      </c>
      <c r="BI144" s="53">
        <f>BH144*(1+'Customer Sector'!$L$42)</f>
        <v>0.39966063221685594</v>
      </c>
      <c r="BJ144" s="53">
        <f>BI144*(1+'Customer Sector'!$L$42)</f>
        <v>0.42563857331095156</v>
      </c>
      <c r="BK144" s="53">
        <f>BJ144*(1+'Customer Sector'!$L$42)</f>
        <v>0.45330508057616337</v>
      </c>
      <c r="BL144" s="54">
        <f>BK144*(1+'Customer Sector'!$L$42)</f>
        <v>0.48276991081361398</v>
      </c>
    </row>
    <row r="145" spans="2:64" hidden="1" outlineLevel="1" x14ac:dyDescent="0.25">
      <c r="B145" s="4"/>
      <c r="C145" s="51"/>
      <c r="D145" s="51" t="s">
        <v>72</v>
      </c>
      <c r="E145" s="51"/>
      <c r="F145" s="52"/>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4"/>
      <c r="AH145" s="4"/>
      <c r="AI145" s="51"/>
      <c r="AJ145" s="51" t="s">
        <v>72</v>
      </c>
      <c r="AK145" s="51"/>
      <c r="AL145" s="52"/>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4"/>
    </row>
    <row r="146" spans="2:64" hidden="1" outlineLevel="1" x14ac:dyDescent="0.25">
      <c r="B146" s="4"/>
      <c r="C146" s="51"/>
      <c r="D146" s="51"/>
      <c r="E146" s="51" t="s">
        <v>256</v>
      </c>
      <c r="F146" s="52"/>
      <c r="G146" s="274">
        <f t="shared" ref="G146:AF146" si="121">G143*G131</f>
        <v>98692694.063926935</v>
      </c>
      <c r="H146" s="274">
        <f t="shared" si="121"/>
        <v>106293405.10257533</v>
      </c>
      <c r="I146" s="274">
        <f t="shared" si="121"/>
        <v>114480170.91571191</v>
      </c>
      <c r="J146" s="274">
        <f t="shared" si="121"/>
        <v>123298233.13400871</v>
      </c>
      <c r="K146" s="274">
        <f t="shared" si="121"/>
        <v>132796330.0562207</v>
      </c>
      <c r="L146" s="274">
        <f t="shared" si="121"/>
        <v>143026967.22285047</v>
      </c>
      <c r="M146" s="274">
        <f t="shared" si="121"/>
        <v>154046708.95164418</v>
      </c>
      <c r="N146" s="274">
        <f t="shared" si="121"/>
        <v>165916492.46077412</v>
      </c>
      <c r="O146" s="274">
        <f t="shared" si="121"/>
        <v>178701966.3318153</v>
      </c>
      <c r="P146" s="274">
        <f t="shared" si="121"/>
        <v>192473855.2006911</v>
      </c>
      <c r="Q146" s="274">
        <f t="shared" si="121"/>
        <v>207308352.71140951</v>
      </c>
      <c r="R146" s="274">
        <f t="shared" si="121"/>
        <v>223874363.17657822</v>
      </c>
      <c r="S146" s="274">
        <f t="shared" si="121"/>
        <v>241764163.53801855</v>
      </c>
      <c r="T146" s="274">
        <f t="shared" si="121"/>
        <v>261083537.84634161</v>
      </c>
      <c r="U146" s="274">
        <f t="shared" si="121"/>
        <v>281946723.35564274</v>
      </c>
      <c r="V146" s="274">
        <f t="shared" si="121"/>
        <v>304477086.01899213</v>
      </c>
      <c r="W146" s="274">
        <f t="shared" si="121"/>
        <v>328807849.96276981</v>
      </c>
      <c r="X146" s="274">
        <f t="shared" si="121"/>
        <v>355082885.25329477</v>
      </c>
      <c r="Y146" s="274">
        <f t="shared" si="121"/>
        <v>383457558.61388552</v>
      </c>
      <c r="Z146" s="274">
        <f t="shared" si="121"/>
        <v>414099652.12272114</v>
      </c>
      <c r="AA146" s="274">
        <f t="shared" si="121"/>
        <v>447190355.32384777</v>
      </c>
      <c r="AB146" s="274">
        <f t="shared" si="121"/>
        <v>482925336.61777639</v>
      </c>
      <c r="AC146" s="274">
        <f t="shared" si="121"/>
        <v>521515900.26690286</v>
      </c>
      <c r="AD146" s="274">
        <f t="shared" si="121"/>
        <v>563190235.85723102</v>
      </c>
      <c r="AE146" s="274">
        <f t="shared" si="121"/>
        <v>608194767.60458243</v>
      </c>
      <c r="AF146" s="284">
        <f t="shared" si="121"/>
        <v>656795611.48386455</v>
      </c>
      <c r="AH146" s="4"/>
      <c r="AI146" s="51"/>
      <c r="AJ146" s="51"/>
      <c r="AK146" s="51" t="s">
        <v>256</v>
      </c>
      <c r="AL146" s="52" t="s">
        <v>8</v>
      </c>
      <c r="AM146" s="274">
        <f t="shared" ref="AM146:BL146" si="122">AM131*AM143</f>
        <v>212703876.71232879</v>
      </c>
      <c r="AN146" s="274">
        <f t="shared" si="122"/>
        <v>227668783.33853427</v>
      </c>
      <c r="AO146" s="274">
        <f t="shared" si="122"/>
        <v>243588308.79158142</v>
      </c>
      <c r="AP146" s="274">
        <f t="shared" si="122"/>
        <v>260508619.78731909</v>
      </c>
      <c r="AQ146" s="274">
        <f t="shared" si="122"/>
        <v>278475680.34227741</v>
      </c>
      <c r="AR146" s="274">
        <f t="shared" si="122"/>
        <v>297534721.50673127</v>
      </c>
      <c r="AS146" s="274">
        <f t="shared" si="122"/>
        <v>317729599.91293985</v>
      </c>
      <c r="AT146" s="274">
        <f t="shared" si="122"/>
        <v>339102026.97040927</v>
      </c>
      <c r="AU146" s="274">
        <f t="shared" si="122"/>
        <v>361690647.83006454</v>
      </c>
      <c r="AV146" s="274">
        <f t="shared" si="122"/>
        <v>385529946.14173621</v>
      </c>
      <c r="AW146" s="274">
        <f t="shared" si="122"/>
        <v>410648947.09014928</v>
      </c>
      <c r="AX146" s="274">
        <f t="shared" si="122"/>
        <v>442414285.7433607</v>
      </c>
      <c r="AY146" s="274">
        <f t="shared" si="122"/>
        <v>476636800.40275258</v>
      </c>
      <c r="AZ146" s="274">
        <f t="shared" si="122"/>
        <v>513506563.46110708</v>
      </c>
      <c r="BA146" s="274">
        <f t="shared" si="122"/>
        <v>553228350.17107761</v>
      </c>
      <c r="BB146" s="274">
        <f t="shared" si="122"/>
        <v>596022775.97021115</v>
      </c>
      <c r="BC146" s="274">
        <f t="shared" si="122"/>
        <v>642127521.78261077</v>
      </c>
      <c r="BD146" s="274">
        <f t="shared" si="122"/>
        <v>691798654.10258293</v>
      </c>
      <c r="BE146" s="274">
        <f t="shared" si="122"/>
        <v>745312047.19203413</v>
      </c>
      <c r="BF146" s="274">
        <f t="shared" si="122"/>
        <v>802964915.29052675</v>
      </c>
      <c r="BG146" s="274">
        <f t="shared" si="122"/>
        <v>865077463.34791017</v>
      </c>
      <c r="BH146" s="274">
        <f t="shared" si="122"/>
        <v>931994665.44772434</v>
      </c>
      <c r="BI146" s="274">
        <f t="shared" si="122"/>
        <v>1004088180.7987677</v>
      </c>
      <c r="BJ146" s="274">
        <f t="shared" si="122"/>
        <v>1081758417.9362755</v>
      </c>
      <c r="BK146" s="274">
        <f t="shared" si="122"/>
        <v>1165436758.5973184</v>
      </c>
      <c r="BL146" s="284">
        <f t="shared" si="122"/>
        <v>1255587953.6218555</v>
      </c>
    </row>
    <row r="147" spans="2:64" hidden="1" outlineLevel="1" x14ac:dyDescent="0.25">
      <c r="B147" s="4"/>
      <c r="C147" s="51"/>
      <c r="D147" s="51"/>
      <c r="E147" s="51" t="s">
        <v>277</v>
      </c>
      <c r="F147" s="52"/>
      <c r="G147" s="274">
        <f t="shared" ref="G147:AF147" si="123">(G144-G143)*G134</f>
        <v>0</v>
      </c>
      <c r="H147" s="274">
        <f t="shared" si="123"/>
        <v>2380208.5439999998</v>
      </c>
      <c r="I147" s="274">
        <f t="shared" si="123"/>
        <v>2557736.3982542395</v>
      </c>
      <c r="J147" s="274">
        <f t="shared" si="123"/>
        <v>2748505.1675180322</v>
      </c>
      <c r="K147" s="274">
        <f t="shared" si="123"/>
        <v>2953502.4254373638</v>
      </c>
      <c r="L147" s="274">
        <f t="shared" si="123"/>
        <v>3173789.4038386089</v>
      </c>
      <c r="M147" s="274">
        <f t="shared" si="123"/>
        <v>3410506.4865239114</v>
      </c>
      <c r="N147" s="274">
        <f t="shared" si="123"/>
        <v>3664879.1128212963</v>
      </c>
      <c r="O147" s="274">
        <f t="shared" si="123"/>
        <v>3938224.1214510719</v>
      </c>
      <c r="P147" s="274">
        <f t="shared" si="123"/>
        <v>4231956.5675495006</v>
      </c>
      <c r="Q147" s="274">
        <f t="shared" si="123"/>
        <v>4547597.0481401784</v>
      </c>
      <c r="R147" s="274">
        <f t="shared" si="123"/>
        <v>0</v>
      </c>
      <c r="S147" s="274">
        <f t="shared" si="123"/>
        <v>0</v>
      </c>
      <c r="T147" s="274">
        <f t="shared" si="123"/>
        <v>0</v>
      </c>
      <c r="U147" s="274">
        <f t="shared" si="123"/>
        <v>0</v>
      </c>
      <c r="V147" s="274">
        <f t="shared" si="123"/>
        <v>0</v>
      </c>
      <c r="W147" s="274">
        <f t="shared" si="123"/>
        <v>0</v>
      </c>
      <c r="X147" s="274">
        <f t="shared" si="123"/>
        <v>0</v>
      </c>
      <c r="Y147" s="274">
        <f t="shared" si="123"/>
        <v>0</v>
      </c>
      <c r="Z147" s="274">
        <f t="shared" si="123"/>
        <v>0</v>
      </c>
      <c r="AA147" s="274">
        <f t="shared" si="123"/>
        <v>0</v>
      </c>
      <c r="AB147" s="274">
        <f t="shared" si="123"/>
        <v>0</v>
      </c>
      <c r="AC147" s="274">
        <f t="shared" si="123"/>
        <v>0</v>
      </c>
      <c r="AD147" s="274">
        <f t="shared" si="123"/>
        <v>0</v>
      </c>
      <c r="AE147" s="274">
        <f t="shared" si="123"/>
        <v>0</v>
      </c>
      <c r="AF147" s="284">
        <f t="shared" si="123"/>
        <v>0</v>
      </c>
      <c r="AH147" s="4"/>
      <c r="AI147" s="51"/>
      <c r="AJ147" s="51"/>
      <c r="AK147" s="51" t="s">
        <v>277</v>
      </c>
      <c r="AL147" s="52" t="s">
        <v>19</v>
      </c>
      <c r="AM147" s="274">
        <f t="shared" ref="AM147:BL147" si="124">(AM144-AM143)*AM133</f>
        <v>0</v>
      </c>
      <c r="AN147" s="274">
        <f t="shared" si="124"/>
        <v>1077943.797</v>
      </c>
      <c r="AO147" s="274">
        <f t="shared" si="124"/>
        <v>1224926.823439935</v>
      </c>
      <c r="AP147" s="274">
        <f t="shared" si="124"/>
        <v>1391951.7204500875</v>
      </c>
      <c r="AQ147" s="274">
        <f t="shared" si="124"/>
        <v>1581751.2972920588</v>
      </c>
      <c r="AR147" s="274">
        <f t="shared" si="124"/>
        <v>1797430.9954343173</v>
      </c>
      <c r="AS147" s="274">
        <f t="shared" si="124"/>
        <v>2042519.698816763</v>
      </c>
      <c r="AT147" s="274">
        <f t="shared" si="124"/>
        <v>2321027.4723489229</v>
      </c>
      <c r="AU147" s="274">
        <f t="shared" si="124"/>
        <v>2637511.1733410601</v>
      </c>
      <c r="AV147" s="274">
        <f t="shared" si="124"/>
        <v>2997149.0093819802</v>
      </c>
      <c r="AW147" s="274">
        <f t="shared" si="124"/>
        <v>3405825.26255626</v>
      </c>
      <c r="AX147" s="274">
        <f t="shared" si="124"/>
        <v>0</v>
      </c>
      <c r="AY147" s="274">
        <f t="shared" si="124"/>
        <v>0</v>
      </c>
      <c r="AZ147" s="274">
        <f t="shared" si="124"/>
        <v>0</v>
      </c>
      <c r="BA147" s="274">
        <f t="shared" si="124"/>
        <v>0</v>
      </c>
      <c r="BB147" s="274">
        <f t="shared" si="124"/>
        <v>0</v>
      </c>
      <c r="BC147" s="274">
        <f t="shared" si="124"/>
        <v>0</v>
      </c>
      <c r="BD147" s="274">
        <f t="shared" si="124"/>
        <v>0</v>
      </c>
      <c r="BE147" s="274">
        <f t="shared" si="124"/>
        <v>0</v>
      </c>
      <c r="BF147" s="274">
        <f t="shared" si="124"/>
        <v>0</v>
      </c>
      <c r="BG147" s="274">
        <f t="shared" si="124"/>
        <v>0</v>
      </c>
      <c r="BH147" s="274">
        <f t="shared" si="124"/>
        <v>0</v>
      </c>
      <c r="BI147" s="274">
        <f t="shared" si="124"/>
        <v>0</v>
      </c>
      <c r="BJ147" s="274">
        <f t="shared" si="124"/>
        <v>0</v>
      </c>
      <c r="BK147" s="274">
        <f t="shared" si="124"/>
        <v>0</v>
      </c>
      <c r="BL147" s="284">
        <f t="shared" si="124"/>
        <v>0</v>
      </c>
    </row>
    <row r="148" spans="2:64" hidden="1" outlineLevel="1" x14ac:dyDescent="0.25">
      <c r="B148" s="4"/>
      <c r="C148" s="51"/>
      <c r="D148" s="51"/>
      <c r="E148" s="51" t="s">
        <v>257</v>
      </c>
      <c r="F148" s="52"/>
      <c r="G148" s="274">
        <f>G146-G147</f>
        <v>98692694.063926935</v>
      </c>
      <c r="H148" s="274">
        <f t="shared" ref="H148:AF148" si="125">H146-H147</f>
        <v>103913196.55857533</v>
      </c>
      <c r="I148" s="274">
        <f t="shared" si="125"/>
        <v>111922434.51745766</v>
      </c>
      <c r="J148" s="274">
        <f t="shared" si="125"/>
        <v>120549727.96649067</v>
      </c>
      <c r="K148" s="274">
        <f t="shared" si="125"/>
        <v>129842827.63078333</v>
      </c>
      <c r="L148" s="274">
        <f t="shared" si="125"/>
        <v>139853177.81901187</v>
      </c>
      <c r="M148" s="274">
        <f t="shared" si="125"/>
        <v>150636202.46512026</v>
      </c>
      <c r="N148" s="274">
        <f t="shared" si="125"/>
        <v>162251613.34795281</v>
      </c>
      <c r="O148" s="274">
        <f t="shared" si="125"/>
        <v>174763742.21036422</v>
      </c>
      <c r="P148" s="274">
        <f t="shared" si="125"/>
        <v>188241898.63314161</v>
      </c>
      <c r="Q148" s="274">
        <f t="shared" si="125"/>
        <v>202760755.66326934</v>
      </c>
      <c r="R148" s="274">
        <f t="shared" si="125"/>
        <v>223874363.17657822</v>
      </c>
      <c r="S148" s="274">
        <f t="shared" si="125"/>
        <v>241764163.53801855</v>
      </c>
      <c r="T148" s="274">
        <f t="shared" si="125"/>
        <v>261083537.84634161</v>
      </c>
      <c r="U148" s="274">
        <f t="shared" si="125"/>
        <v>281946723.35564274</v>
      </c>
      <c r="V148" s="274">
        <f t="shared" si="125"/>
        <v>304477086.01899213</v>
      </c>
      <c r="W148" s="274">
        <f t="shared" si="125"/>
        <v>328807849.96276981</v>
      </c>
      <c r="X148" s="274">
        <f t="shared" si="125"/>
        <v>355082885.25329477</v>
      </c>
      <c r="Y148" s="274">
        <f t="shared" si="125"/>
        <v>383457558.61388552</v>
      </c>
      <c r="Z148" s="274">
        <f t="shared" si="125"/>
        <v>414099652.12272114</v>
      </c>
      <c r="AA148" s="274">
        <f t="shared" si="125"/>
        <v>447190355.32384777</v>
      </c>
      <c r="AB148" s="274">
        <f t="shared" si="125"/>
        <v>482925336.61777639</v>
      </c>
      <c r="AC148" s="274">
        <f t="shared" si="125"/>
        <v>521515900.26690286</v>
      </c>
      <c r="AD148" s="274">
        <f t="shared" si="125"/>
        <v>563190235.85723102</v>
      </c>
      <c r="AE148" s="274">
        <f t="shared" si="125"/>
        <v>608194767.60458243</v>
      </c>
      <c r="AF148" s="284">
        <f t="shared" si="125"/>
        <v>656795611.48386455</v>
      </c>
      <c r="AH148" s="4"/>
      <c r="AI148" s="51"/>
      <c r="AJ148" s="51"/>
      <c r="AK148" s="51" t="s">
        <v>257</v>
      </c>
      <c r="AL148" s="52" t="s">
        <v>19</v>
      </c>
      <c r="AM148" s="274">
        <f>AM146-AM147</f>
        <v>212703876.71232879</v>
      </c>
      <c r="AN148" s="274">
        <f t="shared" ref="AN148:BL148" si="126">AN146-AN147</f>
        <v>226590839.54153427</v>
      </c>
      <c r="AO148" s="274">
        <f t="shared" si="126"/>
        <v>242363381.9681415</v>
      </c>
      <c r="AP148" s="274">
        <f t="shared" si="126"/>
        <v>259116668.06686902</v>
      </c>
      <c r="AQ148" s="274">
        <f t="shared" si="126"/>
        <v>276893929.04498535</v>
      </c>
      <c r="AR148" s="274">
        <f t="shared" si="126"/>
        <v>295737290.51129693</v>
      </c>
      <c r="AS148" s="274">
        <f t="shared" si="126"/>
        <v>315687080.21412307</v>
      </c>
      <c r="AT148" s="274">
        <f t="shared" si="126"/>
        <v>336780999.49806035</v>
      </c>
      <c r="AU148" s="274">
        <f t="shared" si="126"/>
        <v>359053136.6567235</v>
      </c>
      <c r="AV148" s="274">
        <f t="shared" si="126"/>
        <v>382532797.1323542</v>
      </c>
      <c r="AW148" s="274">
        <f t="shared" si="126"/>
        <v>407243121.82759303</v>
      </c>
      <c r="AX148" s="274">
        <f t="shared" si="126"/>
        <v>442414285.7433607</v>
      </c>
      <c r="AY148" s="274">
        <f t="shared" si="126"/>
        <v>476636800.40275258</v>
      </c>
      <c r="AZ148" s="274">
        <f t="shared" si="126"/>
        <v>513506563.46110708</v>
      </c>
      <c r="BA148" s="274">
        <f t="shared" si="126"/>
        <v>553228350.17107761</v>
      </c>
      <c r="BB148" s="274">
        <f t="shared" si="126"/>
        <v>596022775.97021115</v>
      </c>
      <c r="BC148" s="274">
        <f t="shared" si="126"/>
        <v>642127521.78261077</v>
      </c>
      <c r="BD148" s="274">
        <f t="shared" si="126"/>
        <v>691798654.10258293</v>
      </c>
      <c r="BE148" s="274">
        <f t="shared" si="126"/>
        <v>745312047.19203413</v>
      </c>
      <c r="BF148" s="274">
        <f t="shared" si="126"/>
        <v>802964915.29052675</v>
      </c>
      <c r="BG148" s="274">
        <f t="shared" si="126"/>
        <v>865077463.34791017</v>
      </c>
      <c r="BH148" s="274">
        <f t="shared" si="126"/>
        <v>931994665.44772434</v>
      </c>
      <c r="BI148" s="274">
        <f t="shared" si="126"/>
        <v>1004088180.7987677</v>
      </c>
      <c r="BJ148" s="274">
        <f t="shared" si="126"/>
        <v>1081758417.9362755</v>
      </c>
      <c r="BK148" s="274">
        <f t="shared" si="126"/>
        <v>1165436758.5973184</v>
      </c>
      <c r="BL148" s="284">
        <f t="shared" si="126"/>
        <v>1255587953.6218555</v>
      </c>
    </row>
    <row r="149" spans="2:64" collapsed="1" x14ac:dyDescent="0.25">
      <c r="B149" s="4"/>
      <c r="C149" s="51"/>
      <c r="D149" s="51" t="s">
        <v>88</v>
      </c>
      <c r="E149" s="51"/>
      <c r="F149" s="52" t="s">
        <v>19</v>
      </c>
      <c r="G149" s="275">
        <f t="shared" ref="G149:AF149" si="127">G143-G142</f>
        <v>0</v>
      </c>
      <c r="H149" s="275">
        <f t="shared" si="127"/>
        <v>1.3832041754706925E-3</v>
      </c>
      <c r="I149" s="275">
        <f t="shared" si="127"/>
        <v>1.469781321080138E-3</v>
      </c>
      <c r="J149" s="275">
        <f t="shared" si="127"/>
        <v>1.5617680052456284E-3</v>
      </c>
      <c r="K149" s="275">
        <f t="shared" si="127"/>
        <v>1.6595016303684179E-3</v>
      </c>
      <c r="L149" s="275">
        <f t="shared" si="127"/>
        <v>1.7633406056845602E-3</v>
      </c>
      <c r="M149" s="275">
        <f t="shared" si="127"/>
        <v>1.8736656528155898E-3</v>
      </c>
      <c r="N149" s="275">
        <f t="shared" si="127"/>
        <v>1.9908811923119718E-3</v>
      </c>
      <c r="O149" s="275">
        <f t="shared" si="127"/>
        <v>2.1154168162050568E-3</v>
      </c>
      <c r="P149" s="275">
        <f t="shared" si="127"/>
        <v>2.2477288518930744E-3</v>
      </c>
      <c r="Q149" s="275">
        <f t="shared" si="127"/>
        <v>2.3883020230156954E-3</v>
      </c>
      <c r="R149" s="275">
        <f t="shared" si="127"/>
        <v>0</v>
      </c>
      <c r="S149" s="275">
        <f t="shared" si="127"/>
        <v>0</v>
      </c>
      <c r="T149" s="275">
        <f t="shared" si="127"/>
        <v>0</v>
      </c>
      <c r="U149" s="275">
        <f t="shared" si="127"/>
        <v>0</v>
      </c>
      <c r="V149" s="275">
        <f t="shared" si="127"/>
        <v>0</v>
      </c>
      <c r="W149" s="275">
        <f t="shared" si="127"/>
        <v>0</v>
      </c>
      <c r="X149" s="275">
        <f t="shared" si="127"/>
        <v>0</v>
      </c>
      <c r="Y149" s="275">
        <f t="shared" si="127"/>
        <v>0</v>
      </c>
      <c r="Z149" s="275">
        <f t="shared" si="127"/>
        <v>0</v>
      </c>
      <c r="AA149" s="275">
        <f t="shared" si="127"/>
        <v>0</v>
      </c>
      <c r="AB149" s="275">
        <f t="shared" si="127"/>
        <v>0</v>
      </c>
      <c r="AC149" s="275">
        <f t="shared" si="127"/>
        <v>0</v>
      </c>
      <c r="AD149" s="275">
        <f t="shared" si="127"/>
        <v>0</v>
      </c>
      <c r="AE149" s="275">
        <f t="shared" si="127"/>
        <v>0</v>
      </c>
      <c r="AF149" s="285">
        <f t="shared" si="127"/>
        <v>0</v>
      </c>
      <c r="AH149" s="4"/>
      <c r="AI149" s="51"/>
      <c r="AJ149" s="51" t="s">
        <v>88</v>
      </c>
      <c r="AK149" s="51"/>
      <c r="AL149" s="52" t="s">
        <v>19</v>
      </c>
      <c r="AM149" s="275">
        <f>AM143-AM142</f>
        <v>0</v>
      </c>
      <c r="AN149" s="275">
        <f t="shared" ref="AN149:BL149" si="128">AN143-AN142</f>
        <v>2.9246252983958915E-4</v>
      </c>
      <c r="AO149" s="275">
        <f t="shared" si="128"/>
        <v>3.308117402107541E-4</v>
      </c>
      <c r="AP149" s="275">
        <f t="shared" si="128"/>
        <v>3.7435090818220551E-4</v>
      </c>
      <c r="AQ149" s="275">
        <f t="shared" si="128"/>
        <v>4.2381600202326397E-4</v>
      </c>
      <c r="AR149" s="275">
        <f t="shared" si="128"/>
        <v>4.8005456614087783E-4</v>
      </c>
      <c r="AS149" s="275">
        <f t="shared" si="128"/>
        <v>5.4404424177838251E-4</v>
      </c>
      <c r="AT149" s="275">
        <f t="shared" si="128"/>
        <v>6.1691473451076784E-4</v>
      </c>
      <c r="AU149" s="275">
        <f t="shared" si="128"/>
        <v>6.9997396078871899E-4</v>
      </c>
      <c r="AV149" s="275">
        <f t="shared" si="128"/>
        <v>7.9473928486675782E-4</v>
      </c>
      <c r="AW149" s="275">
        <f t="shared" si="128"/>
        <v>9.0297498692452904E-4</v>
      </c>
      <c r="AX149" s="275">
        <f t="shared" si="128"/>
        <v>0</v>
      </c>
      <c r="AY149" s="275">
        <f t="shared" si="128"/>
        <v>0</v>
      </c>
      <c r="AZ149" s="275">
        <f t="shared" si="128"/>
        <v>0</v>
      </c>
      <c r="BA149" s="275">
        <f t="shared" si="128"/>
        <v>0</v>
      </c>
      <c r="BB149" s="275">
        <f t="shared" si="128"/>
        <v>0</v>
      </c>
      <c r="BC149" s="275">
        <f t="shared" si="128"/>
        <v>0</v>
      </c>
      <c r="BD149" s="275">
        <f t="shared" si="128"/>
        <v>0</v>
      </c>
      <c r="BE149" s="275">
        <f t="shared" si="128"/>
        <v>0</v>
      </c>
      <c r="BF149" s="275">
        <f t="shared" si="128"/>
        <v>0</v>
      </c>
      <c r="BG149" s="275">
        <f t="shared" si="128"/>
        <v>0</v>
      </c>
      <c r="BH149" s="275">
        <f t="shared" si="128"/>
        <v>0</v>
      </c>
      <c r="BI149" s="275">
        <f t="shared" si="128"/>
        <v>0</v>
      </c>
      <c r="BJ149" s="275">
        <f t="shared" si="128"/>
        <v>0</v>
      </c>
      <c r="BK149" s="275">
        <f t="shared" si="128"/>
        <v>0</v>
      </c>
      <c r="BL149" s="285">
        <f t="shared" si="128"/>
        <v>0</v>
      </c>
    </row>
    <row r="150" spans="2:64" x14ac:dyDescent="0.25">
      <c r="B150" s="4"/>
      <c r="C150" s="11" t="s">
        <v>261</v>
      </c>
      <c r="D150" s="11"/>
      <c r="E150" s="11"/>
      <c r="F150" s="17" t="s">
        <v>8</v>
      </c>
      <c r="G150" s="60">
        <f>'Customer Sector'!F77</f>
        <v>0.03</v>
      </c>
      <c r="H150" s="60">
        <f t="shared" ref="H150:AF150" si="129">H156/H132</f>
        <v>3.192666025162131E-2</v>
      </c>
      <c r="I150" s="60">
        <f t="shared" si="129"/>
        <v>3.4001961679812946E-2</v>
      </c>
      <c r="J150" s="60">
        <f t="shared" si="129"/>
        <v>3.6212162111581132E-2</v>
      </c>
      <c r="K150" s="60">
        <f t="shared" si="129"/>
        <v>3.8566030265184147E-2</v>
      </c>
      <c r="L150" s="60">
        <f t="shared" si="129"/>
        <v>4.1072904843668323E-2</v>
      </c>
      <c r="M150" s="60">
        <f t="shared" si="129"/>
        <v>4.3742731585033168E-2</v>
      </c>
      <c r="N150" s="60">
        <f t="shared" si="129"/>
        <v>4.6586102720730549E-2</v>
      </c>
      <c r="O150" s="60">
        <f t="shared" si="129"/>
        <v>4.9614298999044223E-2</v>
      </c>
      <c r="P150" s="60">
        <f t="shared" si="129"/>
        <v>5.2839334440072015E-2</v>
      </c>
      <c r="Q150" s="60">
        <f t="shared" si="129"/>
        <v>5.6274003999869968E-2</v>
      </c>
      <c r="R150" s="60">
        <f t="shared" si="129"/>
        <v>5.9974542015356014E-2</v>
      </c>
      <c r="S150" s="60">
        <f t="shared" si="129"/>
        <v>6.3872887246354149E-2</v>
      </c>
      <c r="T150" s="60">
        <f t="shared" si="129"/>
        <v>6.802462491736716E-2</v>
      </c>
      <c r="U150" s="60">
        <f t="shared" si="129"/>
        <v>7.244622553699602E-2</v>
      </c>
      <c r="V150" s="60">
        <f t="shared" si="129"/>
        <v>7.7155230196900751E-2</v>
      </c>
      <c r="W150" s="60">
        <f t="shared" si="129"/>
        <v>8.21703201596993E-2</v>
      </c>
      <c r="X150" s="60">
        <f t="shared" si="129"/>
        <v>8.7511390970079747E-2</v>
      </c>
      <c r="Y150" s="60">
        <f t="shared" si="129"/>
        <v>9.3199631383134932E-2</v>
      </c>
      <c r="Z150" s="60">
        <f t="shared" si="129"/>
        <v>9.9257607423038685E-2</v>
      </c>
      <c r="AA150" s="60">
        <f t="shared" si="129"/>
        <v>0.10570935190553621</v>
      </c>
      <c r="AB150" s="60">
        <f t="shared" si="129"/>
        <v>0.11258045977939606</v>
      </c>
      <c r="AC150" s="60">
        <f t="shared" si="129"/>
        <v>0.11989818966505679</v>
      </c>
      <c r="AD150" s="60">
        <f t="shared" si="129"/>
        <v>0.12769157199328549</v>
      </c>
      <c r="AE150" s="60">
        <f t="shared" si="129"/>
        <v>0.13599152417284904</v>
      </c>
      <c r="AF150" s="61">
        <f t="shared" si="129"/>
        <v>0.14483097324408423</v>
      </c>
      <c r="AH150" s="4"/>
      <c r="AI150" s="11" t="s">
        <v>261</v>
      </c>
      <c r="AJ150" s="11"/>
      <c r="AK150" s="11"/>
      <c r="AL150" s="17" t="s">
        <v>8</v>
      </c>
      <c r="AM150" s="60">
        <f>'Customer Sector'!L77</f>
        <v>0.03</v>
      </c>
      <c r="AN150" s="60">
        <f t="shared" ref="AN150:BL150" si="130">AN156/AN132</f>
        <v>3.1905668561276378E-2</v>
      </c>
      <c r="AO150" s="60">
        <f t="shared" si="130"/>
        <v>3.3976731804749222E-2</v>
      </c>
      <c r="AP150" s="60">
        <f t="shared" si="130"/>
        <v>3.6182039520627277E-2</v>
      </c>
      <c r="AQ150" s="60">
        <f t="shared" si="130"/>
        <v>3.8530265615603167E-2</v>
      </c>
      <c r="AR150" s="60">
        <f t="shared" si="130"/>
        <v>4.1030640189312038E-2</v>
      </c>
      <c r="AS150" s="60">
        <f t="shared" si="130"/>
        <v>4.3692984489534258E-2</v>
      </c>
      <c r="AT150" s="60">
        <f t="shared" si="130"/>
        <v>4.652774793332342E-2</v>
      </c>
      <c r="AU150" s="60">
        <f t="shared" si="130"/>
        <v>4.9546047288897756E-2</v>
      </c>
      <c r="AV150" s="60">
        <f t="shared" si="130"/>
        <v>5.2759708110834955E-2</v>
      </c>
      <c r="AW150" s="60">
        <f t="shared" si="130"/>
        <v>5.618130851662044E-2</v>
      </c>
      <c r="AX150" s="60">
        <f t="shared" si="130"/>
        <v>5.9974542015356014E-2</v>
      </c>
      <c r="AY150" s="60">
        <f t="shared" si="130"/>
        <v>6.3872887246354149E-2</v>
      </c>
      <c r="AZ150" s="60">
        <f t="shared" si="130"/>
        <v>6.802462491736716E-2</v>
      </c>
      <c r="BA150" s="60">
        <f t="shared" si="130"/>
        <v>7.244622553699602E-2</v>
      </c>
      <c r="BB150" s="60">
        <f t="shared" si="130"/>
        <v>7.7155230196900751E-2</v>
      </c>
      <c r="BC150" s="60">
        <f t="shared" si="130"/>
        <v>8.2170320159699287E-2</v>
      </c>
      <c r="BD150" s="60">
        <f t="shared" si="130"/>
        <v>8.7511390970079747E-2</v>
      </c>
      <c r="BE150" s="60">
        <f t="shared" si="130"/>
        <v>9.3199631383134932E-2</v>
      </c>
      <c r="BF150" s="60">
        <f t="shared" si="130"/>
        <v>9.9257607423038699E-2</v>
      </c>
      <c r="BG150" s="60">
        <f t="shared" si="130"/>
        <v>0.10570935190553621</v>
      </c>
      <c r="BH150" s="60">
        <f t="shared" si="130"/>
        <v>0.11258045977939606</v>
      </c>
      <c r="BI150" s="60">
        <f t="shared" si="130"/>
        <v>0.11989818966505679</v>
      </c>
      <c r="BJ150" s="60">
        <f t="shared" si="130"/>
        <v>0.12769157199328549</v>
      </c>
      <c r="BK150" s="60">
        <f t="shared" si="130"/>
        <v>0.13599152417284904</v>
      </c>
      <c r="BL150" s="61">
        <f t="shared" si="130"/>
        <v>0.14483097324408423</v>
      </c>
    </row>
    <row r="151" spans="2:64" x14ac:dyDescent="0.25">
      <c r="B151" s="4"/>
      <c r="C151" s="11"/>
      <c r="D151" s="11" t="s">
        <v>263</v>
      </c>
      <c r="E151" s="11"/>
      <c r="F151" s="17" t="s">
        <v>19</v>
      </c>
      <c r="G151" s="60">
        <f>G150</f>
        <v>0.03</v>
      </c>
      <c r="H151" s="33">
        <f>G151*(1+'Customer Sector'!$F$42)</f>
        <v>3.1949999999999999E-2</v>
      </c>
      <c r="I151" s="33">
        <f>H151*(1+'Customer Sector'!$F$42)</f>
        <v>3.4026749999999995E-2</v>
      </c>
      <c r="J151" s="33">
        <f>I151*(1+'Customer Sector'!$F$42)</f>
        <v>3.6238488749999992E-2</v>
      </c>
      <c r="K151" s="33">
        <f>J151*(1+'Customer Sector'!$F$42)</f>
        <v>3.8593990518749989E-2</v>
      </c>
      <c r="L151" s="33">
        <f>K151*(1+'Customer Sector'!$F$42)</f>
        <v>4.1102599902468735E-2</v>
      </c>
      <c r="M151" s="33">
        <f>L151*(1+'Customer Sector'!$F$42)</f>
        <v>4.3774268896129204E-2</v>
      </c>
      <c r="N151" s="33">
        <f>M151*(1+'Customer Sector'!$F$42)</f>
        <v>4.6619596374377598E-2</v>
      </c>
      <c r="O151" s="33">
        <f>N151*(1+'Customer Sector'!$F$42)</f>
        <v>4.9649870138712138E-2</v>
      </c>
      <c r="P151" s="33">
        <f>O151*(1+'Customer Sector'!$F$42)</f>
        <v>5.2877111697728421E-2</v>
      </c>
      <c r="Q151" s="33">
        <f>P151*(1+'Customer Sector'!$F$42)</f>
        <v>5.6314123958080768E-2</v>
      </c>
      <c r="R151" s="33">
        <f>Q151*(1+'Customer Sector'!$F$42)</f>
        <v>5.9974542015356014E-2</v>
      </c>
      <c r="S151" s="33">
        <f>R151*(1+'Customer Sector'!$F$42)</f>
        <v>6.3872887246354149E-2</v>
      </c>
      <c r="T151" s="33">
        <f>S151*(1+'Customer Sector'!$F$42)</f>
        <v>6.802462491736716E-2</v>
      </c>
      <c r="U151" s="33">
        <f>T151*(1+'Customer Sector'!$F$42)</f>
        <v>7.244622553699602E-2</v>
      </c>
      <c r="V151" s="33">
        <f>U151*(1+'Customer Sector'!$F$42)</f>
        <v>7.7155230196900751E-2</v>
      </c>
      <c r="W151" s="33">
        <f>V151*(1+'Customer Sector'!$F$42)</f>
        <v>8.21703201596993E-2</v>
      </c>
      <c r="X151" s="33">
        <f>W151*(1+'Customer Sector'!$F$42)</f>
        <v>8.7511390970079747E-2</v>
      </c>
      <c r="Y151" s="33">
        <f>X151*(1+'Customer Sector'!$F$42)</f>
        <v>9.3199631383134932E-2</v>
      </c>
      <c r="Z151" s="33">
        <f>Y151*(1+'Customer Sector'!$F$42)</f>
        <v>9.9257607423038699E-2</v>
      </c>
      <c r="AA151" s="33">
        <f>Z151*(1+'Customer Sector'!$F$42)</f>
        <v>0.10570935190553621</v>
      </c>
      <c r="AB151" s="33">
        <f>AA151*(1+'Customer Sector'!$F$42)</f>
        <v>0.11258045977939606</v>
      </c>
      <c r="AC151" s="33">
        <f>AB151*(1+'Customer Sector'!$F$42)</f>
        <v>0.11989818966505679</v>
      </c>
      <c r="AD151" s="33">
        <f>AC151*(1+'Customer Sector'!$F$42)</f>
        <v>0.12769157199328549</v>
      </c>
      <c r="AE151" s="115">
        <f>AD151*(1+'Customer Sector'!$F$42)</f>
        <v>0.13599152417284904</v>
      </c>
      <c r="AF151" s="121">
        <f>AE151*(1+'Customer Sector'!$F$42)</f>
        <v>0.14483097324408423</v>
      </c>
      <c r="AH151" s="4"/>
      <c r="AI151" s="11"/>
      <c r="AJ151" s="11" t="s">
        <v>263</v>
      </c>
      <c r="AK151" s="11"/>
      <c r="AL151" s="17" t="s">
        <v>19</v>
      </c>
      <c r="AM151" s="60">
        <f>AM150</f>
        <v>0.03</v>
      </c>
      <c r="AN151" s="60">
        <f>AM151*(1+'Customer Sector'!$L$42)</f>
        <v>3.1949999999999999E-2</v>
      </c>
      <c r="AO151" s="60">
        <f>AN151*(1+'Customer Sector'!$L$42)</f>
        <v>3.4026749999999995E-2</v>
      </c>
      <c r="AP151" s="60">
        <f>AO151*(1+'Customer Sector'!$L$42)</f>
        <v>3.6238488749999992E-2</v>
      </c>
      <c r="AQ151" s="60">
        <f>AP151*(1+'Customer Sector'!$L$42)</f>
        <v>3.8593990518749989E-2</v>
      </c>
      <c r="AR151" s="60">
        <f>AQ151*(1+'Customer Sector'!$L$42)</f>
        <v>4.1102599902468735E-2</v>
      </c>
      <c r="AS151" s="60">
        <f>AR151*(1+'Customer Sector'!$L$42)</f>
        <v>4.3774268896129204E-2</v>
      </c>
      <c r="AT151" s="60">
        <f>AS151*(1+'Customer Sector'!$L$42)</f>
        <v>4.6619596374377598E-2</v>
      </c>
      <c r="AU151" s="60">
        <f>AT151*(1+'Customer Sector'!$L$42)</f>
        <v>4.9649870138712138E-2</v>
      </c>
      <c r="AV151" s="60">
        <f>AU151*(1+'Customer Sector'!$L$42)</f>
        <v>5.2877111697728421E-2</v>
      </c>
      <c r="AW151" s="60">
        <f>AV151*(1+'Customer Sector'!$L$42)</f>
        <v>5.6314123958080768E-2</v>
      </c>
      <c r="AX151" s="60">
        <f>AW151*(1+'Customer Sector'!$L$42)</f>
        <v>5.9974542015356014E-2</v>
      </c>
      <c r="AY151" s="60">
        <f>AX151*(1+'Customer Sector'!$L$42)</f>
        <v>6.3872887246354149E-2</v>
      </c>
      <c r="AZ151" s="60">
        <f>AY151*(1+'Customer Sector'!$L$42)</f>
        <v>6.802462491736716E-2</v>
      </c>
      <c r="BA151" s="60">
        <f>AZ151*(1+'Customer Sector'!$L$42)</f>
        <v>7.244622553699602E-2</v>
      </c>
      <c r="BB151" s="60">
        <f>BA151*(1+'Customer Sector'!$L$42)</f>
        <v>7.7155230196900751E-2</v>
      </c>
      <c r="BC151" s="60">
        <f>BB151*(1+'Customer Sector'!$L$42)</f>
        <v>8.21703201596993E-2</v>
      </c>
      <c r="BD151" s="60">
        <f>BC151*(1+'Customer Sector'!$L$42)</f>
        <v>8.7511390970079747E-2</v>
      </c>
      <c r="BE151" s="60">
        <f>BD151*(1+'Customer Sector'!$L$42)</f>
        <v>9.3199631383134932E-2</v>
      </c>
      <c r="BF151" s="60">
        <f>BE151*(1+'Customer Sector'!$L$42)</f>
        <v>9.9257607423038699E-2</v>
      </c>
      <c r="BG151" s="60">
        <f>BF151*(1+'Customer Sector'!$L$42)</f>
        <v>0.10570935190553621</v>
      </c>
      <c r="BH151" s="60">
        <f>BG151*(1+'Customer Sector'!$L$42)</f>
        <v>0.11258045977939606</v>
      </c>
      <c r="BI151" s="60">
        <f>BH151*(1+'Customer Sector'!$L$42)</f>
        <v>0.11989818966505679</v>
      </c>
      <c r="BJ151" s="60">
        <f>BI151*(1+'Customer Sector'!$L$42)</f>
        <v>0.12769157199328549</v>
      </c>
      <c r="BK151" s="60">
        <f>BJ151*(1+'Customer Sector'!$L$42)</f>
        <v>0.13599152417284904</v>
      </c>
      <c r="BL151" s="61">
        <f>BK151*(1+'Customer Sector'!$L$42)</f>
        <v>0.14483097324408423</v>
      </c>
    </row>
    <row r="152" spans="2:64" x14ac:dyDescent="0.25">
      <c r="B152" s="4"/>
      <c r="C152" s="11"/>
      <c r="D152" s="11" t="s">
        <v>82</v>
      </c>
      <c r="E152" s="11"/>
      <c r="F152" s="17" t="s">
        <v>19</v>
      </c>
      <c r="G152" s="60">
        <f>'Customer Sector'!F78</f>
        <v>0.04</v>
      </c>
      <c r="H152" s="60">
        <f>G152*(1+'Customer Sector'!$F$42)</f>
        <v>4.2599999999999999E-2</v>
      </c>
      <c r="I152" s="60">
        <f>H152*(1+'Customer Sector'!$F$42)</f>
        <v>4.5369E-2</v>
      </c>
      <c r="J152" s="60">
        <f>I152*(1+'Customer Sector'!$F$42)</f>
        <v>4.8317984999999994E-2</v>
      </c>
      <c r="K152" s="60">
        <f>J152*(1+'Customer Sector'!$F$42)</f>
        <v>5.1458654024999988E-2</v>
      </c>
      <c r="L152" s="60">
        <f>K152*(1+'Customer Sector'!$F$42)</f>
        <v>5.4803466536624983E-2</v>
      </c>
      <c r="M152" s="60">
        <f>L152*(1+'Customer Sector'!$F$42)</f>
        <v>5.83656918615056E-2</v>
      </c>
      <c r="N152" s="60">
        <f>M152*(1+'Customer Sector'!$F$42)</f>
        <v>6.2159461832503461E-2</v>
      </c>
      <c r="O152" s="60">
        <f>N152*(1+'Customer Sector'!$F$42)</f>
        <v>6.6199826851616184E-2</v>
      </c>
      <c r="P152" s="60">
        <f>O152*(1+'Customer Sector'!$F$42)</f>
        <v>7.0502815596971233E-2</v>
      </c>
      <c r="Q152" s="60">
        <f>P152*(1+'Customer Sector'!$F$42)</f>
        <v>7.5085498610774362E-2</v>
      </c>
      <c r="R152" s="60">
        <f>Q152*(1+'Customer Sector'!$F$42)</f>
        <v>7.9966056020474685E-2</v>
      </c>
      <c r="S152" s="60">
        <f>R152*(1+'Customer Sector'!$F$42)</f>
        <v>8.5163849661805541E-2</v>
      </c>
      <c r="T152" s="60">
        <f>S152*(1+'Customer Sector'!$F$42)</f>
        <v>9.0699499889822899E-2</v>
      </c>
      <c r="U152" s="60">
        <f>T152*(1+'Customer Sector'!$F$42)</f>
        <v>9.6594967382661379E-2</v>
      </c>
      <c r="V152" s="60">
        <f>U152*(1+'Customer Sector'!$F$42)</f>
        <v>0.10287364026253436</v>
      </c>
      <c r="W152" s="60">
        <f>V152*(1+'Customer Sector'!$F$42)</f>
        <v>0.10956042687959909</v>
      </c>
      <c r="X152" s="60">
        <f>W152*(1+'Customer Sector'!$F$42)</f>
        <v>0.11668185462677302</v>
      </c>
      <c r="Y152" s="60">
        <f>X152*(1+'Customer Sector'!$F$42)</f>
        <v>0.12426617517751326</v>
      </c>
      <c r="Z152" s="60">
        <f>Y152*(1+'Customer Sector'!$F$42)</f>
        <v>0.13234347656405163</v>
      </c>
      <c r="AA152" s="60">
        <f>Z152*(1+'Customer Sector'!$F$42)</f>
        <v>0.14094580254071498</v>
      </c>
      <c r="AB152" s="60">
        <f>AA152*(1+'Customer Sector'!$F$42)</f>
        <v>0.15010727970586143</v>
      </c>
      <c r="AC152" s="60">
        <f>AB152*(1+'Customer Sector'!$F$42)</f>
        <v>0.15986425288674241</v>
      </c>
      <c r="AD152" s="60">
        <f>AC152*(1+'Customer Sector'!$F$42)</f>
        <v>0.17025542932438067</v>
      </c>
      <c r="AE152" s="60">
        <f>AD152*(1+'Customer Sector'!$F$42)</f>
        <v>0.18132203223046542</v>
      </c>
      <c r="AF152" s="61">
        <f>AE152*(1+'Customer Sector'!$F$42)</f>
        <v>0.19310796432544566</v>
      </c>
      <c r="AH152" s="4"/>
      <c r="AI152" s="11"/>
      <c r="AJ152" s="11" t="s">
        <v>82</v>
      </c>
      <c r="AK152" s="11"/>
      <c r="AL152" s="17" t="s">
        <v>19</v>
      </c>
      <c r="AM152" s="60">
        <f>'Customer Sector'!L78</f>
        <v>0.04</v>
      </c>
      <c r="AN152" s="60">
        <f>AM152*(1+'Customer Sector'!$L$42)</f>
        <v>4.2599999999999999E-2</v>
      </c>
      <c r="AO152" s="60">
        <f>AN152*(1+'Customer Sector'!$L$42)</f>
        <v>4.5369E-2</v>
      </c>
      <c r="AP152" s="60">
        <f>AO152*(1+'Customer Sector'!$L$42)</f>
        <v>4.8317984999999994E-2</v>
      </c>
      <c r="AQ152" s="60">
        <f>AP152*(1+'Customer Sector'!$L$42)</f>
        <v>5.1458654024999988E-2</v>
      </c>
      <c r="AR152" s="60">
        <f>AQ152*(1+'Customer Sector'!$L$42)</f>
        <v>5.4803466536624983E-2</v>
      </c>
      <c r="AS152" s="60">
        <f>AR152*(1+'Customer Sector'!$L$42)</f>
        <v>5.83656918615056E-2</v>
      </c>
      <c r="AT152" s="60">
        <f>AS152*(1+'Customer Sector'!$L$42)</f>
        <v>6.2159461832503461E-2</v>
      </c>
      <c r="AU152" s="60">
        <f>AT152*(1+'Customer Sector'!$L$42)</f>
        <v>6.6199826851616184E-2</v>
      </c>
      <c r="AV152" s="60">
        <f>AU152*(1+'Customer Sector'!$L$42)</f>
        <v>7.0502815596971233E-2</v>
      </c>
      <c r="AW152" s="60">
        <f>AV152*(1+'Customer Sector'!$L$42)</f>
        <v>7.5085498610774362E-2</v>
      </c>
      <c r="AX152" s="60">
        <f>AW152*(1+'Customer Sector'!$L$42)</f>
        <v>7.9966056020474685E-2</v>
      </c>
      <c r="AY152" s="60">
        <f>AX152*(1+'Customer Sector'!$L$42)</f>
        <v>8.5163849661805541E-2</v>
      </c>
      <c r="AZ152" s="60">
        <f>AY152*(1+'Customer Sector'!$L$42)</f>
        <v>9.0699499889822899E-2</v>
      </c>
      <c r="BA152" s="60">
        <f>AZ152*(1+'Customer Sector'!$L$42)</f>
        <v>9.6594967382661379E-2</v>
      </c>
      <c r="BB152" s="60">
        <f>BA152*(1+'Customer Sector'!$L$42)</f>
        <v>0.10287364026253436</v>
      </c>
      <c r="BC152" s="60">
        <f>BB152*(1+'Customer Sector'!$L$42)</f>
        <v>0.10956042687959909</v>
      </c>
      <c r="BD152" s="60">
        <f>BC152*(1+'Customer Sector'!$L$42)</f>
        <v>0.11668185462677302</v>
      </c>
      <c r="BE152" s="60">
        <f>BD152*(1+'Customer Sector'!$L$42)</f>
        <v>0.12426617517751326</v>
      </c>
      <c r="BF152" s="60">
        <f>BE152*(1+'Customer Sector'!$L$42)</f>
        <v>0.13234347656405163</v>
      </c>
      <c r="BG152" s="60">
        <f>BF152*(1+'Customer Sector'!$L$42)</f>
        <v>0.14094580254071498</v>
      </c>
      <c r="BH152" s="60">
        <f>BG152*(1+'Customer Sector'!$L$42)</f>
        <v>0.15010727970586143</v>
      </c>
      <c r="BI152" s="60">
        <f>BH152*(1+'Customer Sector'!$L$42)</f>
        <v>0.15986425288674241</v>
      </c>
      <c r="BJ152" s="60">
        <f>BI152*(1+'Customer Sector'!$L$42)</f>
        <v>0.17025542932438067</v>
      </c>
      <c r="BK152" s="60">
        <f>BJ152*(1+'Customer Sector'!$L$42)</f>
        <v>0.18132203223046542</v>
      </c>
      <c r="BL152" s="61">
        <f>BK152*(1+'Customer Sector'!$L$42)</f>
        <v>0.19310796432544566</v>
      </c>
    </row>
    <row r="153" spans="2:64" hidden="1" outlineLevel="1" x14ac:dyDescent="0.25">
      <c r="B153" s="4"/>
      <c r="C153" s="11"/>
      <c r="D153" s="11" t="s">
        <v>72</v>
      </c>
      <c r="E153" s="11"/>
      <c r="F153" s="17"/>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1"/>
      <c r="AH153" s="4"/>
      <c r="AI153" s="11"/>
      <c r="AJ153" s="11" t="s">
        <v>72</v>
      </c>
      <c r="AK153" s="11"/>
      <c r="AL153" s="17"/>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1"/>
    </row>
    <row r="154" spans="2:64" hidden="1" outlineLevel="1" x14ac:dyDescent="0.25">
      <c r="B154" s="4"/>
      <c r="C154" s="11"/>
      <c r="D154" s="11"/>
      <c r="E154" s="11" t="s">
        <v>256</v>
      </c>
      <c r="F154" s="17"/>
      <c r="G154" s="201">
        <f t="shared" ref="G154:AF154" si="131">G132*G151</f>
        <v>719952054.7945205</v>
      </c>
      <c r="H154" s="201">
        <f t="shared" si="131"/>
        <v>775783274.53315067</v>
      </c>
      <c r="I154" s="201">
        <f t="shared" si="131"/>
        <v>835949161.43091309</v>
      </c>
      <c r="J154" s="201">
        <f t="shared" si="131"/>
        <v>900786640.94405866</v>
      </c>
      <c r="K154" s="201">
        <f t="shared" si="131"/>
        <v>970658856.83230031</v>
      </c>
      <c r="L154" s="201">
        <f t="shared" si="131"/>
        <v>1045957213.6504561</v>
      </c>
      <c r="M154" s="201">
        <f t="shared" si="131"/>
        <v>1127103578.531461</v>
      </c>
      <c r="N154" s="201">
        <f t="shared" si="131"/>
        <v>1214552654.6970377</v>
      </c>
      <c r="O154" s="201">
        <f t="shared" si="131"/>
        <v>1308794540.10427</v>
      </c>
      <c r="P154" s="201">
        <f t="shared" si="131"/>
        <v>1410357485.684324</v>
      </c>
      <c r="Q154" s="201">
        <f t="shared" si="131"/>
        <v>1519810868.7595437</v>
      </c>
      <c r="R154" s="201">
        <f t="shared" si="131"/>
        <v>1641258955.2821188</v>
      </c>
      <c r="S154" s="201">
        <f t="shared" si="131"/>
        <v>1772411958.3987126</v>
      </c>
      <c r="T154" s="201">
        <f t="shared" si="131"/>
        <v>1914045397.9943538</v>
      </c>
      <c r="U154" s="201">
        <f t="shared" si="131"/>
        <v>2066996765.7480824</v>
      </c>
      <c r="V154" s="201">
        <f t="shared" si="131"/>
        <v>2232170477.2990112</v>
      </c>
      <c r="W154" s="201">
        <f t="shared" si="131"/>
        <v>2410543220.1399755</v>
      </c>
      <c r="X154" s="201">
        <f t="shared" si="131"/>
        <v>2603169728.8613605</v>
      </c>
      <c r="Y154" s="201">
        <f t="shared" si="131"/>
        <v>2811189021.8946719</v>
      </c>
      <c r="Z154" s="201">
        <f t="shared" si="131"/>
        <v>3035831136.634275</v>
      </c>
      <c r="AA154" s="201">
        <f t="shared" si="131"/>
        <v>3278424402.7627196</v>
      </c>
      <c r="AB154" s="201">
        <f t="shared" si="131"/>
        <v>3540403296.7874885</v>
      </c>
      <c r="AC154" s="201">
        <f t="shared" si="131"/>
        <v>3823316924.2337766</v>
      </c>
      <c r="AD154" s="201">
        <f t="shared" si="131"/>
        <v>4128838179.6492977</v>
      </c>
      <c r="AE154" s="201">
        <f t="shared" si="131"/>
        <v>4458773638.5850735</v>
      </c>
      <c r="AF154" s="202">
        <f t="shared" si="131"/>
        <v>4815074240.0444059</v>
      </c>
      <c r="AH154" s="4"/>
      <c r="AI154" s="11"/>
      <c r="AJ154" s="11"/>
      <c r="AK154" s="11" t="s">
        <v>256</v>
      </c>
      <c r="AL154" s="17" t="s">
        <v>8</v>
      </c>
      <c r="AM154" s="201">
        <f t="shared" ref="AM154:BL154" si="132">AM132*AM151</f>
        <v>1551650753.4246573</v>
      </c>
      <c r="AN154" s="201">
        <f t="shared" si="132"/>
        <v>1664747507.1100686</v>
      </c>
      <c r="AO154" s="201">
        <f t="shared" si="132"/>
        <v>1785647856.1958039</v>
      </c>
      <c r="AP154" s="201">
        <f t="shared" si="132"/>
        <v>1914826599.4039376</v>
      </c>
      <c r="AQ154" s="201">
        <f t="shared" si="132"/>
        <v>2052777694.9773524</v>
      </c>
      <c r="AR154" s="201">
        <f t="shared" si="132"/>
        <v>2200013347.252553</v>
      </c>
      <c r="AS154" s="201">
        <f t="shared" si="132"/>
        <v>2357062695.937819</v>
      </c>
      <c r="AT154" s="201">
        <f t="shared" si="132"/>
        <v>2524470032.8257217</v>
      </c>
      <c r="AU154" s="201">
        <f t="shared" si="132"/>
        <v>2702792458.7734442</v>
      </c>
      <c r="AV154" s="201">
        <f t="shared" si="132"/>
        <v>2892596880.140521</v>
      </c>
      <c r="AW154" s="201">
        <f t="shared" si="132"/>
        <v>3094456228.233335</v>
      </c>
      <c r="AX154" s="201">
        <f t="shared" si="132"/>
        <v>3333824795.3120966</v>
      </c>
      <c r="AY154" s="201">
        <f t="shared" si="132"/>
        <v>3591709478.5286684</v>
      </c>
      <c r="AZ154" s="201">
        <f t="shared" si="132"/>
        <v>3869542573.5307751</v>
      </c>
      <c r="BA154" s="201">
        <f t="shared" si="132"/>
        <v>4168867169.7636743</v>
      </c>
      <c r="BB154" s="201">
        <f t="shared" si="132"/>
        <v>4491345720.8135729</v>
      </c>
      <c r="BC154" s="201">
        <f t="shared" si="132"/>
        <v>4838769277.7013855</v>
      </c>
      <c r="BD154" s="201">
        <f t="shared" si="132"/>
        <v>5213067436.408699</v>
      </c>
      <c r="BE154" s="201">
        <f t="shared" si="132"/>
        <v>5616319054.8846588</v>
      </c>
      <c r="BF154" s="201">
        <f t="shared" si="132"/>
        <v>6050763799.0562067</v>
      </c>
      <c r="BG154" s="201">
        <f t="shared" si="132"/>
        <v>6518814581.968401</v>
      </c>
      <c r="BH154" s="201">
        <f t="shared" si="132"/>
        <v>7023070965.141984</v>
      </c>
      <c r="BI154" s="201">
        <f t="shared" si="132"/>
        <v>7566333596.5795774</v>
      </c>
      <c r="BJ154" s="201">
        <f t="shared" si="132"/>
        <v>8151619765.609395</v>
      </c>
      <c r="BK154" s="201">
        <f t="shared" si="132"/>
        <v>8782180160.9583435</v>
      </c>
      <c r="BL154" s="202">
        <f t="shared" si="132"/>
        <v>9461516925.1291161</v>
      </c>
    </row>
    <row r="155" spans="2:64" hidden="1" outlineLevel="1" x14ac:dyDescent="0.25">
      <c r="B155" s="4"/>
      <c r="C155" s="11"/>
      <c r="D155" s="11"/>
      <c r="E155" s="11" t="s">
        <v>277</v>
      </c>
      <c r="F155" s="17"/>
      <c r="G155" s="201">
        <f t="shared" ref="G155:AF155" si="133">G134*(G152-G151)</f>
        <v>0</v>
      </c>
      <c r="H155" s="201">
        <f t="shared" si="133"/>
        <v>566716.31999999995</v>
      </c>
      <c r="I155" s="201">
        <f t="shared" si="133"/>
        <v>608984.85672720021</v>
      </c>
      <c r="J155" s="201">
        <f t="shared" si="133"/>
        <v>654405.99226619815</v>
      </c>
      <c r="K155" s="201">
        <f t="shared" si="133"/>
        <v>703214.86319937231</v>
      </c>
      <c r="L155" s="201">
        <f t="shared" si="133"/>
        <v>755664.1437710973</v>
      </c>
      <c r="M155" s="201">
        <f t="shared" si="133"/>
        <v>812025.35393426428</v>
      </c>
      <c r="N155" s="201">
        <f t="shared" si="133"/>
        <v>872590.26495745126</v>
      </c>
      <c r="O155" s="201">
        <f t="shared" si="133"/>
        <v>937672.40986930265</v>
      </c>
      <c r="P155" s="201">
        <f t="shared" si="133"/>
        <v>1007608.7065594047</v>
      </c>
      <c r="Q155" s="201">
        <f t="shared" si="133"/>
        <v>1082761.2019381376</v>
      </c>
      <c r="R155" s="201">
        <f t="shared" si="133"/>
        <v>0</v>
      </c>
      <c r="S155" s="201">
        <f t="shared" si="133"/>
        <v>0</v>
      </c>
      <c r="T155" s="201">
        <f t="shared" si="133"/>
        <v>0</v>
      </c>
      <c r="U155" s="201">
        <f t="shared" si="133"/>
        <v>0</v>
      </c>
      <c r="V155" s="201">
        <f t="shared" si="133"/>
        <v>0</v>
      </c>
      <c r="W155" s="201">
        <f t="shared" si="133"/>
        <v>0</v>
      </c>
      <c r="X155" s="201">
        <f t="shared" si="133"/>
        <v>0</v>
      </c>
      <c r="Y155" s="201">
        <f t="shared" si="133"/>
        <v>0</v>
      </c>
      <c r="Z155" s="201">
        <f t="shared" si="133"/>
        <v>0</v>
      </c>
      <c r="AA155" s="201">
        <f t="shared" si="133"/>
        <v>0</v>
      </c>
      <c r="AB155" s="201">
        <f t="shared" si="133"/>
        <v>0</v>
      </c>
      <c r="AC155" s="201">
        <f t="shared" si="133"/>
        <v>0</v>
      </c>
      <c r="AD155" s="201">
        <f t="shared" si="133"/>
        <v>0</v>
      </c>
      <c r="AE155" s="201">
        <f t="shared" si="133"/>
        <v>0</v>
      </c>
      <c r="AF155" s="202">
        <f t="shared" si="133"/>
        <v>0</v>
      </c>
      <c r="AH155" s="4"/>
      <c r="AI155" s="11"/>
      <c r="AJ155" s="11"/>
      <c r="AK155" s="11" t="s">
        <v>277</v>
      </c>
      <c r="AL155" s="17" t="s">
        <v>19</v>
      </c>
      <c r="AM155" s="201">
        <f t="shared" ref="AM155:BL155" si="134">AM134*(AM152-AM151)</f>
        <v>0</v>
      </c>
      <c r="AN155" s="201">
        <f t="shared" si="134"/>
        <v>2309879.5649999999</v>
      </c>
      <c r="AO155" s="201">
        <f t="shared" si="134"/>
        <v>2624843.1930855764</v>
      </c>
      <c r="AP155" s="201">
        <f t="shared" si="134"/>
        <v>2982753.6866787588</v>
      </c>
      <c r="AQ155" s="201">
        <f t="shared" si="134"/>
        <v>3389467.0656258403</v>
      </c>
      <c r="AR155" s="201">
        <f t="shared" si="134"/>
        <v>3851637.8473592512</v>
      </c>
      <c r="AS155" s="201">
        <f t="shared" si="134"/>
        <v>4376827.9260359192</v>
      </c>
      <c r="AT155" s="201">
        <f t="shared" si="134"/>
        <v>4973630.2978905477</v>
      </c>
      <c r="AU155" s="201">
        <f t="shared" si="134"/>
        <v>5651809.6571594141</v>
      </c>
      <c r="AV155" s="201">
        <f t="shared" si="134"/>
        <v>6422462.1629613861</v>
      </c>
      <c r="AW155" s="201">
        <f t="shared" si="134"/>
        <v>7298196.9911919851</v>
      </c>
      <c r="AX155" s="201">
        <f t="shared" si="134"/>
        <v>0</v>
      </c>
      <c r="AY155" s="201">
        <f t="shared" si="134"/>
        <v>0</v>
      </c>
      <c r="AZ155" s="201">
        <f t="shared" si="134"/>
        <v>0</v>
      </c>
      <c r="BA155" s="201">
        <f t="shared" si="134"/>
        <v>0</v>
      </c>
      <c r="BB155" s="201">
        <f t="shared" si="134"/>
        <v>0</v>
      </c>
      <c r="BC155" s="201">
        <f t="shared" si="134"/>
        <v>0</v>
      </c>
      <c r="BD155" s="201">
        <f t="shared" si="134"/>
        <v>0</v>
      </c>
      <c r="BE155" s="201">
        <f t="shared" si="134"/>
        <v>0</v>
      </c>
      <c r="BF155" s="201">
        <f t="shared" si="134"/>
        <v>0</v>
      </c>
      <c r="BG155" s="201">
        <f t="shared" si="134"/>
        <v>0</v>
      </c>
      <c r="BH155" s="201">
        <f t="shared" si="134"/>
        <v>0</v>
      </c>
      <c r="BI155" s="201">
        <f t="shared" si="134"/>
        <v>0</v>
      </c>
      <c r="BJ155" s="201">
        <f t="shared" si="134"/>
        <v>0</v>
      </c>
      <c r="BK155" s="201">
        <f t="shared" si="134"/>
        <v>0</v>
      </c>
      <c r="BL155" s="202">
        <f t="shared" si="134"/>
        <v>0</v>
      </c>
    </row>
    <row r="156" spans="2:64" hidden="1" outlineLevel="1" x14ac:dyDescent="0.25">
      <c r="B156" s="4"/>
      <c r="C156" s="11"/>
      <c r="D156" s="11"/>
      <c r="E156" s="11" t="s">
        <v>257</v>
      </c>
      <c r="F156" s="17"/>
      <c r="G156" s="201">
        <f>G154-G155</f>
        <v>719952054.7945205</v>
      </c>
      <c r="H156" s="201">
        <f t="shared" ref="H156:AF156" si="135">H154-H155</f>
        <v>775216558.21315062</v>
      </c>
      <c r="I156" s="201">
        <f t="shared" si="135"/>
        <v>835340176.57418585</v>
      </c>
      <c r="J156" s="201">
        <f t="shared" si="135"/>
        <v>900132234.95179248</v>
      </c>
      <c r="K156" s="201">
        <f t="shared" si="135"/>
        <v>969955641.96910095</v>
      </c>
      <c r="L156" s="201">
        <f t="shared" si="135"/>
        <v>1045201549.506685</v>
      </c>
      <c r="M156" s="201">
        <f t="shared" si="135"/>
        <v>1126291553.1775267</v>
      </c>
      <c r="N156" s="201">
        <f t="shared" si="135"/>
        <v>1213680064.4320803</v>
      </c>
      <c r="O156" s="201">
        <f t="shared" si="135"/>
        <v>1307856867.6944008</v>
      </c>
      <c r="P156" s="201">
        <f t="shared" si="135"/>
        <v>1409349876.9777646</v>
      </c>
      <c r="Q156" s="201">
        <f t="shared" si="135"/>
        <v>1518728107.5576055</v>
      </c>
      <c r="R156" s="201">
        <f t="shared" si="135"/>
        <v>1641258955.2821188</v>
      </c>
      <c r="S156" s="201">
        <f t="shared" si="135"/>
        <v>1772411958.3987126</v>
      </c>
      <c r="T156" s="201">
        <f t="shared" si="135"/>
        <v>1914045397.9943538</v>
      </c>
      <c r="U156" s="201">
        <f t="shared" si="135"/>
        <v>2066996765.7480824</v>
      </c>
      <c r="V156" s="201">
        <f t="shared" si="135"/>
        <v>2232170477.2990112</v>
      </c>
      <c r="W156" s="201">
        <f t="shared" si="135"/>
        <v>2410543220.1399755</v>
      </c>
      <c r="X156" s="201">
        <f t="shared" si="135"/>
        <v>2603169728.8613605</v>
      </c>
      <c r="Y156" s="201">
        <f t="shared" si="135"/>
        <v>2811189021.8946719</v>
      </c>
      <c r="Z156" s="201">
        <f t="shared" si="135"/>
        <v>3035831136.634275</v>
      </c>
      <c r="AA156" s="201">
        <f t="shared" si="135"/>
        <v>3278424402.7627196</v>
      </c>
      <c r="AB156" s="201">
        <f t="shared" si="135"/>
        <v>3540403296.7874885</v>
      </c>
      <c r="AC156" s="201">
        <f t="shared" si="135"/>
        <v>3823316924.2337766</v>
      </c>
      <c r="AD156" s="201">
        <f t="shared" si="135"/>
        <v>4128838179.6492977</v>
      </c>
      <c r="AE156" s="201">
        <f t="shared" si="135"/>
        <v>4458773638.5850735</v>
      </c>
      <c r="AF156" s="202">
        <f t="shared" si="135"/>
        <v>4815074240.0444059</v>
      </c>
      <c r="AH156" s="4"/>
      <c r="AI156" s="11"/>
      <c r="AJ156" s="11"/>
      <c r="AK156" s="11" t="s">
        <v>257</v>
      </c>
      <c r="AL156" s="17" t="s">
        <v>19</v>
      </c>
      <c r="AM156" s="201">
        <f>AM154-AM155</f>
        <v>1551650753.4246573</v>
      </c>
      <c r="AN156" s="201">
        <f t="shared" ref="AN156:BL156" si="136">AN154-AN155</f>
        <v>1662437627.5450685</v>
      </c>
      <c r="AO156" s="201">
        <f t="shared" si="136"/>
        <v>1783023013.0027182</v>
      </c>
      <c r="AP156" s="201">
        <f t="shared" si="136"/>
        <v>1911843845.7172589</v>
      </c>
      <c r="AQ156" s="201">
        <f t="shared" si="136"/>
        <v>2049388227.9117265</v>
      </c>
      <c r="AR156" s="201">
        <f t="shared" si="136"/>
        <v>2196161709.4051938</v>
      </c>
      <c r="AS156" s="201">
        <f t="shared" si="136"/>
        <v>2352685868.0117831</v>
      </c>
      <c r="AT156" s="201">
        <f t="shared" si="136"/>
        <v>2519496402.5278311</v>
      </c>
      <c r="AU156" s="201">
        <f t="shared" si="136"/>
        <v>2697140649.1162848</v>
      </c>
      <c r="AV156" s="201">
        <f t="shared" si="136"/>
        <v>2886174417.9775596</v>
      </c>
      <c r="AW156" s="201">
        <f t="shared" si="136"/>
        <v>3087158031.2421432</v>
      </c>
      <c r="AX156" s="201">
        <f t="shared" si="136"/>
        <v>3333824795.3120966</v>
      </c>
      <c r="AY156" s="201">
        <f t="shared" si="136"/>
        <v>3591709478.5286684</v>
      </c>
      <c r="AZ156" s="201">
        <f t="shared" si="136"/>
        <v>3869542573.5307751</v>
      </c>
      <c r="BA156" s="201">
        <f t="shared" si="136"/>
        <v>4168867169.7636743</v>
      </c>
      <c r="BB156" s="201">
        <f t="shared" si="136"/>
        <v>4491345720.8135729</v>
      </c>
      <c r="BC156" s="201">
        <f t="shared" si="136"/>
        <v>4838769277.7013855</v>
      </c>
      <c r="BD156" s="201">
        <f t="shared" si="136"/>
        <v>5213067436.408699</v>
      </c>
      <c r="BE156" s="201">
        <f t="shared" si="136"/>
        <v>5616319054.8846588</v>
      </c>
      <c r="BF156" s="201">
        <f t="shared" si="136"/>
        <v>6050763799.0562067</v>
      </c>
      <c r="BG156" s="201">
        <f t="shared" si="136"/>
        <v>6518814581.968401</v>
      </c>
      <c r="BH156" s="201">
        <f t="shared" si="136"/>
        <v>7023070965.141984</v>
      </c>
      <c r="BI156" s="201">
        <f t="shared" si="136"/>
        <v>7566333596.5795774</v>
      </c>
      <c r="BJ156" s="201">
        <f t="shared" si="136"/>
        <v>8151619765.609395</v>
      </c>
      <c r="BK156" s="201">
        <f t="shared" si="136"/>
        <v>8782180160.9583435</v>
      </c>
      <c r="BL156" s="202">
        <f t="shared" si="136"/>
        <v>9461516925.1291161</v>
      </c>
    </row>
    <row r="157" spans="2:64" collapsed="1" x14ac:dyDescent="0.25">
      <c r="B157" s="4"/>
      <c r="C157" s="11"/>
      <c r="D157" s="11" t="s">
        <v>266</v>
      </c>
      <c r="E157" s="11"/>
      <c r="F157" s="17" t="s">
        <v>19</v>
      </c>
      <c r="G157" s="276">
        <f>G151-G150</f>
        <v>0</v>
      </c>
      <c r="H157" s="276">
        <f t="shared" ref="H157:AF157" si="137">H151-H150</f>
        <v>2.3339748378689573E-5</v>
      </c>
      <c r="I157" s="276">
        <f t="shared" si="137"/>
        <v>2.4788320187048296E-5</v>
      </c>
      <c r="J157" s="276">
        <f t="shared" si="137"/>
        <v>2.6326638418859571E-5</v>
      </c>
      <c r="K157" s="276">
        <f t="shared" si="137"/>
        <v>2.7960253565842419E-5</v>
      </c>
      <c r="L157" s="276">
        <f t="shared" si="137"/>
        <v>2.9695058800412177E-5</v>
      </c>
      <c r="M157" s="276">
        <f t="shared" si="137"/>
        <v>3.1537311096035969E-5</v>
      </c>
      <c r="N157" s="276">
        <f t="shared" si="137"/>
        <v>3.3493653647048705E-5</v>
      </c>
      <c r="O157" s="276">
        <f t="shared" si="137"/>
        <v>3.5571139667914253E-5</v>
      </c>
      <c r="P157" s="276">
        <f t="shared" si="137"/>
        <v>3.7777257656405883E-5</v>
      </c>
      <c r="Q157" s="276">
        <f t="shared" si="137"/>
        <v>4.0119958210800555E-5</v>
      </c>
      <c r="R157" s="276">
        <f t="shared" si="137"/>
        <v>0</v>
      </c>
      <c r="S157" s="276">
        <f t="shared" si="137"/>
        <v>0</v>
      </c>
      <c r="T157" s="276">
        <f t="shared" si="137"/>
        <v>0</v>
      </c>
      <c r="U157" s="276">
        <f t="shared" si="137"/>
        <v>0</v>
      </c>
      <c r="V157" s="276">
        <f t="shared" si="137"/>
        <v>0</v>
      </c>
      <c r="W157" s="276">
        <f t="shared" si="137"/>
        <v>0</v>
      </c>
      <c r="X157" s="276">
        <f t="shared" si="137"/>
        <v>0</v>
      </c>
      <c r="Y157" s="276">
        <f t="shared" si="137"/>
        <v>0</v>
      </c>
      <c r="Z157" s="276">
        <f t="shared" si="137"/>
        <v>0</v>
      </c>
      <c r="AA157" s="276">
        <f t="shared" si="137"/>
        <v>0</v>
      </c>
      <c r="AB157" s="276">
        <f t="shared" si="137"/>
        <v>0</v>
      </c>
      <c r="AC157" s="276">
        <f t="shared" si="137"/>
        <v>0</v>
      </c>
      <c r="AD157" s="276">
        <f t="shared" si="137"/>
        <v>0</v>
      </c>
      <c r="AE157" s="276">
        <f t="shared" si="137"/>
        <v>0</v>
      </c>
      <c r="AF157" s="286">
        <f t="shared" si="137"/>
        <v>0</v>
      </c>
      <c r="AH157" s="4"/>
      <c r="AI157" s="11"/>
      <c r="AJ157" s="11" t="s">
        <v>266</v>
      </c>
      <c r="AK157" s="11"/>
      <c r="AL157" s="17" t="s">
        <v>19</v>
      </c>
      <c r="AM157" s="276">
        <f>AM151-AM150</f>
        <v>0</v>
      </c>
      <c r="AN157" s="276">
        <f t="shared" ref="AN157:BL157" si="138">AN151-AN150</f>
        <v>4.4331438723621552E-5</v>
      </c>
      <c r="AO157" s="276">
        <f t="shared" si="138"/>
        <v>5.0018195250772779E-5</v>
      </c>
      <c r="AP157" s="276">
        <f t="shared" si="138"/>
        <v>5.6449229372715348E-5</v>
      </c>
      <c r="AQ157" s="276">
        <f t="shared" si="138"/>
        <v>6.3724903146822331E-5</v>
      </c>
      <c r="AR157" s="276">
        <f t="shared" si="138"/>
        <v>7.1959713156696803E-5</v>
      </c>
      <c r="AS157" s="276">
        <f t="shared" si="138"/>
        <v>8.1284406594946124E-5</v>
      </c>
      <c r="AT157" s="276">
        <f t="shared" si="138"/>
        <v>9.1848441054177832E-5</v>
      </c>
      <c r="AU157" s="276">
        <f t="shared" si="138"/>
        <v>1.03822849814382E-4</v>
      </c>
      <c r="AV157" s="276">
        <f t="shared" si="138"/>
        <v>1.1740358689346642E-4</v>
      </c>
      <c r="AW157" s="276">
        <f t="shared" si="138"/>
        <v>1.3281544146032803E-4</v>
      </c>
      <c r="AX157" s="276">
        <f t="shared" si="138"/>
        <v>0</v>
      </c>
      <c r="AY157" s="276">
        <f t="shared" si="138"/>
        <v>0</v>
      </c>
      <c r="AZ157" s="276">
        <f t="shared" si="138"/>
        <v>0</v>
      </c>
      <c r="BA157" s="276">
        <f t="shared" si="138"/>
        <v>0</v>
      </c>
      <c r="BB157" s="276">
        <f t="shared" si="138"/>
        <v>0</v>
      </c>
      <c r="BC157" s="276">
        <f t="shared" si="138"/>
        <v>0</v>
      </c>
      <c r="BD157" s="276">
        <f t="shared" si="138"/>
        <v>0</v>
      </c>
      <c r="BE157" s="276">
        <f t="shared" si="138"/>
        <v>0</v>
      </c>
      <c r="BF157" s="276">
        <f t="shared" si="138"/>
        <v>0</v>
      </c>
      <c r="BG157" s="276">
        <f t="shared" si="138"/>
        <v>0</v>
      </c>
      <c r="BH157" s="276">
        <f t="shared" si="138"/>
        <v>0</v>
      </c>
      <c r="BI157" s="276">
        <f t="shared" si="138"/>
        <v>0</v>
      </c>
      <c r="BJ157" s="276">
        <f t="shared" si="138"/>
        <v>0</v>
      </c>
      <c r="BK157" s="276">
        <f t="shared" si="138"/>
        <v>0</v>
      </c>
      <c r="BL157" s="286">
        <f t="shared" si="138"/>
        <v>0</v>
      </c>
    </row>
    <row r="158" spans="2:64" x14ac:dyDescent="0.25">
      <c r="B158" s="4"/>
      <c r="C158" s="51" t="s">
        <v>86</v>
      </c>
      <c r="D158" s="51"/>
      <c r="E158" s="51"/>
      <c r="F158" s="52" t="s">
        <v>7</v>
      </c>
      <c r="G158" s="394">
        <v>0</v>
      </c>
      <c r="H158" s="55">
        <f>IF(G140&gt;0, ((H140-G140)/G140)-'Customer Sector'!$F$42, 0)</f>
        <v>-3.5866728065356429E-3</v>
      </c>
      <c r="I158" s="55">
        <f>IF(H140&gt;0, ((I140-H140)/H140)-'Customer Sector'!$F$42, 0)</f>
        <v>-1.9076008159008007E-5</v>
      </c>
      <c r="J158" s="55">
        <f>IF(I140&gt;0, ((J140-I140)/I140)-'Customer Sector'!$F$42, 0)</f>
        <v>-1.9066483427809811E-5</v>
      </c>
      <c r="K158" s="55">
        <f>IF(J140&gt;0, ((K140-J140)/J140)-'Customer Sector'!$F$42, 0)</f>
        <v>-1.9056733066374898E-5</v>
      </c>
      <c r="L158" s="55">
        <f>IF(K140&gt;0, ((L140-K140)/K140)-'Customer Sector'!$F$42, 0)</f>
        <v>-1.9046757543786375E-5</v>
      </c>
      <c r="M158" s="55">
        <f>IF(L140&gt;0, ((M140-L140)/L140)-'Customer Sector'!$F$42, 0)</f>
        <v>-1.9036557339910387E-5</v>
      </c>
      <c r="N158" s="55">
        <f>IF(M140&gt;0, ((N140-M140)/M140)-'Customer Sector'!$F$42, 0)</f>
        <v>-1.9026132943689156E-5</v>
      </c>
      <c r="O158" s="55">
        <f>IF(N140&gt;0, ((O140-N140)/N140)-'Customer Sector'!$F$42, 0)</f>
        <v>-1.9015484855666731E-5</v>
      </c>
      <c r="P158" s="55">
        <f>IF(O140&gt;0, ((P140-O140)/O140)-'Customer Sector'!$F$42, 0)</f>
        <v>-1.9004613585962837E-5</v>
      </c>
      <c r="Q158" s="55">
        <f>IF(P140&gt;0, ((Q140-P140)/P140)-'Customer Sector'!$F$42, 0)</f>
        <v>-1.8993519655202684E-5</v>
      </c>
      <c r="R158" s="55">
        <f>IF(Q140&gt;0, ((R140-Q140)/Q140)-'Customer Sector'!$F$42, 0)</f>
        <v>3.4832241232827382E-3</v>
      </c>
      <c r="S158" s="55">
        <f>IF(R140&gt;0, ((S140-R140)/R140)-'Customer Sector'!$F$42, 0)</f>
        <v>-2.2204460492503131E-16</v>
      </c>
      <c r="T158" s="55">
        <f>IF(S140&gt;0, ((T140-S140)/S140)-'Customer Sector'!$F$42, 0)</f>
        <v>6.9388939039072284E-17</v>
      </c>
      <c r="U158" s="55">
        <f>IF(T140&gt;0, ((U140-T140)/T140)-'Customer Sector'!$F$42, 0)</f>
        <v>-2.9143354396410359E-16</v>
      </c>
      <c r="V158" s="55">
        <f>IF(U140&gt;0, ((V140-U140)/U140)-'Customer Sector'!$F$42, 0)</f>
        <v>-1.2490009027033011E-16</v>
      </c>
      <c r="W158" s="55">
        <f>IF(V140&gt;0, ((W140-V140)/V140)-'Customer Sector'!$F$42, 0)</f>
        <v>1.1102230246251565E-16</v>
      </c>
      <c r="X158" s="55">
        <f>IF(W140&gt;0, ((X140-W140)/W140)-'Customer Sector'!$F$42, 0)</f>
        <v>-9.7144514654701197E-17</v>
      </c>
      <c r="Y158" s="55">
        <f>IF(X140&gt;0, ((Y140-X140)/X140)-'Customer Sector'!$F$42, 0)</f>
        <v>-5.5511151231257827E-17</v>
      </c>
      <c r="Z158" s="55">
        <f>IF(Y140&gt;0, ((Z140-Y140)/Y140)-'Customer Sector'!$F$42, 0)</f>
        <v>-5.5511151231257827E-17</v>
      </c>
      <c r="AA158" s="55">
        <f>IF(Z140&gt;0, ((AA140-Z140)/Z140)-'Customer Sector'!$F$42, 0)</f>
        <v>-1.5265566588595902E-16</v>
      </c>
      <c r="AB158" s="55">
        <f>IF(AA140&gt;0, ((AB140-AA140)/AA140)-'Customer Sector'!$F$42, 0)</f>
        <v>-4.163336342344337E-17</v>
      </c>
      <c r="AC158" s="55">
        <f>IF(AB140&gt;0, ((AC140-AB140)/AB140)-'Customer Sector'!$F$42, 0)</f>
        <v>-2.7755575615628914E-17</v>
      </c>
      <c r="AD158" s="55">
        <f>IF(AC140&gt;0, ((AD140-AC140)/AC140)-'Customer Sector'!$F$42, 0)</f>
        <v>-9.7144514654701197E-17</v>
      </c>
      <c r="AE158" s="55">
        <f>IF(AD140&gt;0, ((AE140-AD140)/AD140)-'Customer Sector'!$F$42, 0)</f>
        <v>2.7755575615628914E-16</v>
      </c>
      <c r="AF158" s="56">
        <f>IF(AE140&gt;0, ((AF140-AE140)/AE140)-'Customer Sector'!$F$42, 0)</f>
        <v>-2.2204460492503131E-16</v>
      </c>
      <c r="AH158" s="4"/>
      <c r="AI158" s="5" t="s">
        <v>86</v>
      </c>
      <c r="AJ158" s="5"/>
      <c r="AK158" s="5"/>
      <c r="AL158" s="12" t="s">
        <v>7</v>
      </c>
      <c r="AM158" s="277">
        <v>0</v>
      </c>
      <c r="AN158" s="107">
        <f>IF(AM140&gt;0, ((AN140-AM140)/AM140)-'Customer Sector'!$L$42, 0)</f>
        <v>-2.0429669130377914E-3</v>
      </c>
      <c r="AO158" s="107">
        <f>IF(AN140&gt;0, ((AO140-AN140)/AN140)-'Customer Sector'!$L$42, 0)</f>
        <v>-2.5950576644116763E-4</v>
      </c>
      <c r="AP158" s="107">
        <f>IF(AO140&gt;0, ((AP140-AO140)/AO140)-'Customer Sector'!$L$42, 0)</f>
        <v>-2.7637154786123996E-4</v>
      </c>
      <c r="AQ158" s="107">
        <f>IF(AP140&gt;0, ((AQ140-AP140)/AP140)-'Customer Sector'!$L$42, 0)</f>
        <v>-2.9450398348507267E-4</v>
      </c>
      <c r="AR158" s="107">
        <f>IF(AQ140&gt;0, ((AR140-AQ140)/AQ140)-'Customer Sector'!$L$42, 0)</f>
        <v>-3.1401980911970051E-4</v>
      </c>
      <c r="AS158" s="107">
        <f>IF(AR140&gt;0, ((AS140-AR140)/AR140)-'Customer Sector'!$L$42, 0)</f>
        <v>-3.3504929671981931E-4</v>
      </c>
      <c r="AT158" s="107">
        <f>IF(AS140&gt;0, ((AT140-AS140)/AS140)-'Customer Sector'!$L$42, 0)</f>
        <v>-3.5773819574087817E-4</v>
      </c>
      <c r="AU158" s="107">
        <f>IF(AT140&gt;0, ((AU140-AT140)/AT140)-'Customer Sector'!$L$42, 0)</f>
        <v>-3.8225000848221558E-4</v>
      </c>
      <c r="AV158" s="107">
        <f>IF(AU140&gt;0, ((AV140-AU140)/AU140)-'Customer Sector'!$L$42, 0)</f>
        <v>-4.0876866675768064E-4</v>
      </c>
      <c r="AW158" s="107">
        <f>IF(AV140&gt;0, ((AW140-AV140)/AV140)-'Customer Sector'!$L$42, 0)</f>
        <v>-4.3750169285983187E-4</v>
      </c>
      <c r="AX158" s="107">
        <f>IF(AW140&gt;0, ((AX140-AW140)/AW140)-'Customer Sector'!$L$42, 0)</f>
        <v>3.2622996619112998E-3</v>
      </c>
      <c r="AY158" s="107">
        <f>IF(AX140&gt;0, ((AY140-AX140)/AX140)-'Customer Sector'!$L$42, 0)</f>
        <v>-4.163336342344337E-17</v>
      </c>
      <c r="AZ158" s="107">
        <f>IF(AY140&gt;0, ((AZ140-AY140)/AY140)-'Customer Sector'!$L$42, 0)</f>
        <v>2.7755575615628914E-17</v>
      </c>
      <c r="BA158" s="107">
        <f>IF(AZ140&gt;0, ((BA140-AZ140)/AZ140)-'Customer Sector'!$L$42, 0)</f>
        <v>-3.7470027081099033E-16</v>
      </c>
      <c r="BB158" s="107">
        <f>IF(BA140&gt;0, ((BB140-BA140)/BA140)-'Customer Sector'!$L$42, 0)</f>
        <v>-6.9388939039072284E-17</v>
      </c>
      <c r="BC158" s="107">
        <f>IF(BB140&gt;0, ((BC140-BB140)/BB140)-'Customer Sector'!$L$42, 0)</f>
        <v>-1.3877787807814457E-17</v>
      </c>
      <c r="BD158" s="107">
        <f>IF(BC140&gt;0, ((BD140-BC140)/BC140)-'Customer Sector'!$L$42, 0)</f>
        <v>-1.2490009027033011E-16</v>
      </c>
      <c r="BE158" s="107">
        <f>IF(BD140&gt;0, ((BE140-BD140)/BD140)-'Customer Sector'!$L$42, 0)</f>
        <v>9.7144514654701197E-17</v>
      </c>
      <c r="BF158" s="107">
        <f>IF(BE140&gt;0, ((BF140-BE140)/BE140)-'Customer Sector'!$L$42, 0)</f>
        <v>-1.6653345369377348E-16</v>
      </c>
      <c r="BG158" s="107">
        <f>IF(BF140&gt;0, ((BG140-BF140)/BF140)-'Customer Sector'!$L$42, 0)</f>
        <v>8.3266726846886741E-17</v>
      </c>
      <c r="BH158" s="107">
        <f>IF(BG140&gt;0, ((BH140-BG140)/BG140)-'Customer Sector'!$L$42, 0)</f>
        <v>-2.7755575615628914E-16</v>
      </c>
      <c r="BI158" s="107">
        <f>IF(BH140&gt;0, ((BI140-BH140)/BH140)-'Customer Sector'!$L$42, 0)</f>
        <v>1.2490009027033011E-16</v>
      </c>
      <c r="BJ158" s="107">
        <f>IF(BI140&gt;0, ((BJ140-BI140)/BI140)-'Customer Sector'!$L$42, 0)</f>
        <v>-1.6653345369377348E-16</v>
      </c>
      <c r="BK158" s="107">
        <f>IF(BJ140&gt;0, ((BK140-BJ140)/BJ140)-'Customer Sector'!$L$42, 0)</f>
        <v>2.7755575615628914E-17</v>
      </c>
      <c r="BL158" s="114">
        <f>IF(BK140&gt;0, ((BL140-BK140)/BK140)-'Customer Sector'!$L$42, 0)</f>
        <v>-6.9388939039072284E-17</v>
      </c>
    </row>
    <row r="159" spans="2:64" x14ac:dyDescent="0.25">
      <c r="B159" s="6"/>
      <c r="C159" s="395"/>
      <c r="D159" s="395" t="s">
        <v>267</v>
      </c>
      <c r="E159" s="395"/>
      <c r="F159" s="396" t="s">
        <v>19</v>
      </c>
      <c r="G159" s="397">
        <f>SUM($G158:G158)</f>
        <v>0</v>
      </c>
      <c r="H159" s="398">
        <f>SUM($G158:H158)</f>
        <v>-3.5866728065356429E-3</v>
      </c>
      <c r="I159" s="398">
        <f>SUM($G158:I158)</f>
        <v>-3.6057488146946509E-3</v>
      </c>
      <c r="J159" s="398">
        <f>SUM($G158:J158)</f>
        <v>-3.6248152981224607E-3</v>
      </c>
      <c r="K159" s="398">
        <f>SUM($G158:K158)</f>
        <v>-3.6438720311888356E-3</v>
      </c>
      <c r="L159" s="398">
        <f>SUM($G158:L158)</f>
        <v>-3.662918788732622E-3</v>
      </c>
      <c r="M159" s="398">
        <f>SUM($G158:M158)</f>
        <v>-3.6819553460725324E-3</v>
      </c>
      <c r="N159" s="398">
        <f>SUM($G158:N158)</f>
        <v>-3.7009814790162215E-3</v>
      </c>
      <c r="O159" s="398">
        <f>SUM($G158:O158)</f>
        <v>-3.7199969638718883E-3</v>
      </c>
      <c r="P159" s="398">
        <f>SUM($G158:P158)</f>
        <v>-3.7390015774578511E-3</v>
      </c>
      <c r="Q159" s="398">
        <f>SUM($G158:Q158)</f>
        <v>-3.7579950971130538E-3</v>
      </c>
      <c r="R159" s="398">
        <f>SUM($G158:R158)</f>
        <v>-2.7477097383031557E-4</v>
      </c>
      <c r="S159" s="398">
        <f>SUM($G158:S158)</f>
        <v>-2.7477097383053761E-4</v>
      </c>
      <c r="T159" s="398">
        <f>SUM($G158:T158)</f>
        <v>-2.7477097383046822E-4</v>
      </c>
      <c r="U159" s="398">
        <f>SUM($G158:U158)</f>
        <v>-2.7477097383075966E-4</v>
      </c>
      <c r="V159" s="398">
        <f>SUM($G158:V158)</f>
        <v>-2.7477097383088456E-4</v>
      </c>
      <c r="W159" s="398">
        <f>SUM($G158:W158)</f>
        <v>-2.7477097383077353E-4</v>
      </c>
      <c r="X159" s="398">
        <f>SUM($G158:X158)</f>
        <v>-2.7477097383087068E-4</v>
      </c>
      <c r="Y159" s="398">
        <f>SUM($G158:Y158)</f>
        <v>-2.7477097383092619E-4</v>
      </c>
      <c r="Z159" s="398">
        <f>SUM($G158:Z158)</f>
        <v>-2.747709738309817E-4</v>
      </c>
      <c r="AA159" s="398">
        <f>SUM($G158:AA158)</f>
        <v>-2.7477097383113436E-4</v>
      </c>
      <c r="AB159" s="398">
        <f>SUM($G158:AB158)</f>
        <v>-2.7477097383117599E-4</v>
      </c>
      <c r="AC159" s="398">
        <f>SUM($G158:AC158)</f>
        <v>-2.7477097383120375E-4</v>
      </c>
      <c r="AD159" s="398">
        <f>SUM($G158:AD158)</f>
        <v>-2.7477097383130089E-4</v>
      </c>
      <c r="AE159" s="398">
        <f>SUM($G158:AE158)</f>
        <v>-2.7477097383102334E-4</v>
      </c>
      <c r="AF159" s="399">
        <f>SUM($G158:AF158)</f>
        <v>-2.7477097383124538E-4</v>
      </c>
      <c r="AH159" s="6"/>
      <c r="AI159" s="7"/>
      <c r="AJ159" s="7" t="s">
        <v>267</v>
      </c>
      <c r="AK159" s="7"/>
      <c r="AL159" s="13" t="s">
        <v>19</v>
      </c>
      <c r="AM159" s="70">
        <f>SUM($AM158:AM158)</f>
        <v>0</v>
      </c>
      <c r="AN159" s="70">
        <f>SUM($AM158:AN158)</f>
        <v>-2.0429669130377914E-3</v>
      </c>
      <c r="AO159" s="70">
        <f>SUM($AM158:AO158)</f>
        <v>-2.3024726794789591E-3</v>
      </c>
      <c r="AP159" s="70">
        <f>SUM($AM158:AP158)</f>
        <v>-2.578844227340199E-3</v>
      </c>
      <c r="AQ159" s="70">
        <f>SUM($AM158:AQ158)</f>
        <v>-2.8733482108252717E-3</v>
      </c>
      <c r="AR159" s="70">
        <f>SUM($AM158:AR158)</f>
        <v>-3.1873680199449722E-3</v>
      </c>
      <c r="AS159" s="70">
        <f>SUM($AM158:AS158)</f>
        <v>-3.5224173166647915E-3</v>
      </c>
      <c r="AT159" s="70">
        <f>SUM($AM158:AT158)</f>
        <v>-3.8801555124056697E-3</v>
      </c>
      <c r="AU159" s="70">
        <f>SUM($AM158:AU158)</f>
        <v>-4.2624055208878853E-3</v>
      </c>
      <c r="AV159" s="70">
        <f>SUM($AM158:AV158)</f>
        <v>-4.6711741876455659E-3</v>
      </c>
      <c r="AW159" s="70">
        <f>SUM($AM158:AW158)</f>
        <v>-5.1086758805053978E-3</v>
      </c>
      <c r="AX159" s="70">
        <f>SUM($AM158:AX158)</f>
        <v>-1.846376218594098E-3</v>
      </c>
      <c r="AY159" s="70">
        <f>SUM($AM158:AY158)</f>
        <v>-1.8463762185941396E-3</v>
      </c>
      <c r="AZ159" s="70">
        <f>SUM($AM158:AZ158)</f>
        <v>-1.8463762185941118E-3</v>
      </c>
      <c r="BA159" s="70">
        <f>SUM($AM158:BA158)</f>
        <v>-1.8463762185944865E-3</v>
      </c>
      <c r="BB159" s="70">
        <f>SUM($AM158:BB158)</f>
        <v>-1.8463762185945559E-3</v>
      </c>
      <c r="BC159" s="70">
        <f>SUM($AM158:BC158)</f>
        <v>-1.8463762185945698E-3</v>
      </c>
      <c r="BD159" s="70">
        <f>SUM($AM158:BD158)</f>
        <v>-1.8463762185946947E-3</v>
      </c>
      <c r="BE159" s="70">
        <f>SUM($AM158:BE158)</f>
        <v>-1.8463762185945976E-3</v>
      </c>
      <c r="BF159" s="70">
        <f>SUM($AM158:BF158)</f>
        <v>-1.8463762185947641E-3</v>
      </c>
      <c r="BG159" s="70">
        <f>SUM($AM158:BG158)</f>
        <v>-1.8463762185946808E-3</v>
      </c>
      <c r="BH159" s="70">
        <f>SUM($AM158:BH158)</f>
        <v>-1.8463762185949584E-3</v>
      </c>
      <c r="BI159" s="70">
        <f>SUM($AM158:BI158)</f>
        <v>-1.8463762185948335E-3</v>
      </c>
      <c r="BJ159" s="70">
        <f>SUM($AM158:BJ158)</f>
        <v>-1.846376218595E-3</v>
      </c>
      <c r="BK159" s="70">
        <f>SUM($AM158:BK158)</f>
        <v>-1.8463762185949723E-3</v>
      </c>
      <c r="BL159" s="71">
        <f>SUM($AM158:BL158)</f>
        <v>-1.8463762185950416E-3</v>
      </c>
    </row>
    <row r="160" spans="2:64" x14ac:dyDescent="0.25">
      <c r="B160" s="740" t="s">
        <v>226</v>
      </c>
      <c r="C160" s="741"/>
      <c r="D160" s="741"/>
      <c r="E160" s="741"/>
      <c r="F160" s="741"/>
      <c r="G160" s="741"/>
      <c r="H160" s="741"/>
      <c r="I160" s="741"/>
      <c r="J160" s="741"/>
      <c r="K160" s="741"/>
      <c r="L160" s="741"/>
      <c r="M160" s="332"/>
      <c r="N160" s="332"/>
      <c r="O160" s="332"/>
      <c r="P160" s="332"/>
      <c r="Q160" s="333"/>
      <c r="R160" s="79"/>
      <c r="S160" s="79"/>
      <c r="T160" s="79"/>
      <c r="U160" s="79"/>
      <c r="V160" s="79"/>
      <c r="W160" s="79"/>
      <c r="X160" s="79"/>
      <c r="Y160" s="79"/>
      <c r="Z160" s="79"/>
      <c r="AA160" s="79"/>
      <c r="AB160" s="79"/>
      <c r="AC160" s="79"/>
      <c r="AD160" s="79"/>
      <c r="AE160" s="79"/>
      <c r="AF160" s="79"/>
      <c r="AH160" s="740" t="s">
        <v>226</v>
      </c>
      <c r="AI160" s="741"/>
      <c r="AJ160" s="741"/>
      <c r="AK160" s="741"/>
      <c r="AL160" s="741"/>
      <c r="AM160" s="741"/>
      <c r="AN160" s="741"/>
      <c r="AO160" s="741"/>
      <c r="AP160" s="741"/>
      <c r="AQ160" s="741"/>
      <c r="AR160" s="741"/>
      <c r="AS160" s="332"/>
      <c r="AT160" s="332"/>
      <c r="AU160" s="332"/>
      <c r="AV160" s="332"/>
      <c r="AW160" s="333"/>
      <c r="AX160" s="79"/>
      <c r="AY160" s="79"/>
      <c r="AZ160" s="79"/>
      <c r="BA160" s="79"/>
      <c r="BB160" s="79"/>
      <c r="BC160" s="79"/>
      <c r="BD160" s="79"/>
      <c r="BE160" s="79"/>
      <c r="BF160" s="79"/>
      <c r="BG160" s="79"/>
      <c r="BH160" s="79"/>
      <c r="BI160" s="79"/>
      <c r="BJ160" s="79"/>
      <c r="BK160" s="79"/>
      <c r="BL160" s="79"/>
    </row>
    <row r="161" spans="2:64" x14ac:dyDescent="0.25">
      <c r="B161" s="31" t="s">
        <v>202</v>
      </c>
      <c r="C161" s="32"/>
      <c r="D161" s="32"/>
      <c r="E161" s="32"/>
      <c r="F161" s="334" t="str">
        <f t="shared" ref="F161:AF161" si="139">F28</f>
        <v>%</v>
      </c>
      <c r="G161" s="335">
        <f t="shared" si="139"/>
        <v>0</v>
      </c>
      <c r="H161" s="335">
        <f t="shared" ca="1" si="139"/>
        <v>5.550555552039392E-3</v>
      </c>
      <c r="I161" s="335">
        <f t="shared" ca="1" si="139"/>
        <v>6.7536898465704711E-3</v>
      </c>
      <c r="J161" s="335">
        <f t="shared" ca="1" si="139"/>
        <v>7.8814886526759401E-3</v>
      </c>
      <c r="K161" s="335">
        <f t="shared" ca="1" si="139"/>
        <v>8.9331776355787186E-3</v>
      </c>
      <c r="L161" s="335">
        <f t="shared" ca="1" si="139"/>
        <v>9.9081756461389722E-3</v>
      </c>
      <c r="M161" s="335">
        <f t="shared" ca="1" si="139"/>
        <v>1.0806077849844336E-2</v>
      </c>
      <c r="N161" s="335">
        <f t="shared" ca="1" si="139"/>
        <v>1.1626634072986718E-2</v>
      </c>
      <c r="O161" s="335">
        <f t="shared" ca="1" si="139"/>
        <v>1.2369722445604836E-2</v>
      </c>
      <c r="P161" s="335">
        <f t="shared" ca="1" si="139"/>
        <v>1.3035318447448095E-2</v>
      </c>
      <c r="Q161" s="335">
        <f t="shared" ca="1" si="139"/>
        <v>1.3623459464733131E-2</v>
      </c>
      <c r="R161" s="335">
        <f t="shared" ca="1" si="139"/>
        <v>1.1064998573403484E-2</v>
      </c>
      <c r="S161" s="335">
        <f t="shared" ca="1" si="139"/>
        <v>1.077330920860658E-2</v>
      </c>
      <c r="T161" s="335">
        <f t="shared" ca="1" si="139"/>
        <v>1.0486030808337541E-2</v>
      </c>
      <c r="U161" s="335">
        <f t="shared" ca="1" si="139"/>
        <v>1.0203563963215567E-2</v>
      </c>
      <c r="V161" s="335">
        <f t="shared" ca="1" si="139"/>
        <v>9.9262675117920383E-3</v>
      </c>
      <c r="W161" s="335">
        <f t="shared" ca="1" si="139"/>
        <v>9.6544578966123416E-3</v>
      </c>
      <c r="X161" s="335">
        <f t="shared" ca="1" si="139"/>
        <v>9.3884090948309403E-3</v>
      </c>
      <c r="Y161" s="335">
        <f t="shared" ca="1" si="139"/>
        <v>9.1283530782412456E-3</v>
      </c>
      <c r="Z161" s="335">
        <f t="shared" ca="1" si="139"/>
        <v>8.8744807497738512E-3</v>
      </c>
      <c r="AA161" s="335">
        <f t="shared" ca="1" si="139"/>
        <v>8.6269432980576703E-3</v>
      </c>
      <c r="AB161" s="335">
        <f t="shared" ca="1" si="139"/>
        <v>8.385853908473441E-3</v>
      </c>
      <c r="AC161" s="335">
        <f t="shared" ca="1" si="139"/>
        <v>8.1512897680317102E-3</v>
      </c>
      <c r="AD161" s="335">
        <f t="shared" ca="1" si="139"/>
        <v>7.923294302191651E-3</v>
      </c>
      <c r="AE161" s="335">
        <f t="shared" ca="1" si="139"/>
        <v>7.7018795840719401E-3</v>
      </c>
      <c r="AF161" s="336">
        <f t="shared" ca="1" si="139"/>
        <v>7.4870288601126831E-3</v>
      </c>
      <c r="AH161" s="31" t="s">
        <v>202</v>
      </c>
      <c r="AI161" s="32"/>
      <c r="AJ161" s="32"/>
      <c r="AK161" s="32"/>
      <c r="AL161" s="334" t="str">
        <f t="shared" ref="AL161:BL161" si="140">AL28</f>
        <v>%</v>
      </c>
      <c r="AM161" s="335">
        <f t="shared" si="140"/>
        <v>0</v>
      </c>
      <c r="AN161" s="335">
        <f t="shared" ca="1" si="140"/>
        <v>5.1959182367409332E-3</v>
      </c>
      <c r="AO161" s="335">
        <f t="shared" ca="1" si="140"/>
        <v>6.3704933094064246E-3</v>
      </c>
      <c r="AP161" s="335">
        <f t="shared" ca="1" si="140"/>
        <v>7.5215249726558993E-3</v>
      </c>
      <c r="AQ161" s="335">
        <f t="shared" ca="1" si="140"/>
        <v>8.6504218117142567E-3</v>
      </c>
      <c r="AR161" s="335">
        <f t="shared" ca="1" si="140"/>
        <v>9.7588740760424734E-3</v>
      </c>
      <c r="AS161" s="335">
        <f t="shared" ca="1" si="140"/>
        <v>1.0848847733307607E-2</v>
      </c>
      <c r="AT161" s="335">
        <f t="shared" ca="1" si="140"/>
        <v>1.1922579547130076E-2</v>
      </c>
      <c r="AU161" s="335">
        <f t="shared" ca="1" si="140"/>
        <v>1.2982573793613918E-2</v>
      </c>
      <c r="AV161" s="335">
        <f t="shared" ca="1" si="140"/>
        <v>1.4031601249795486E-2</v>
      </c>
      <c r="AW161" s="335">
        <f t="shared" ca="1" si="140"/>
        <v>1.507270111389674E-2</v>
      </c>
      <c r="AX161" s="335">
        <f t="shared" ca="1" si="140"/>
        <v>1.3358824347719404E-2</v>
      </c>
      <c r="AY161" s="335">
        <f t="shared" ca="1" si="140"/>
        <v>1.2836289823676673E-2</v>
      </c>
      <c r="AZ161" s="335">
        <f t="shared" ca="1" si="140"/>
        <v>1.2335296144377617E-2</v>
      </c>
      <c r="BA161" s="335">
        <f t="shared" ca="1" si="140"/>
        <v>1.1855352755332038E-2</v>
      </c>
      <c r="BB161" s="335">
        <f t="shared" ca="1" si="140"/>
        <v>1.1395922737116183E-2</v>
      </c>
      <c r="BC161" s="335">
        <f t="shared" ca="1" si="140"/>
        <v>1.0956430826737067E-2</v>
      </c>
      <c r="BD161" s="335">
        <f t="shared" ca="1" si="140"/>
        <v>1.0536270925238664E-2</v>
      </c>
      <c r="BE161" s="335">
        <f t="shared" ca="1" si="140"/>
        <v>1.0134813055429888E-2</v>
      </c>
      <c r="BF161" s="335">
        <f t="shared" ca="1" si="140"/>
        <v>9.7514097487050727E-3</v>
      </c>
      <c r="BG161" s="335">
        <f t="shared" ca="1" si="140"/>
        <v>9.3854018530154966E-3</v>
      </c>
      <c r="BH161" s="335">
        <f t="shared" ca="1" si="140"/>
        <v>9.0361237651198825E-3</v>
      </c>
      <c r="BI161" s="335">
        <f t="shared" ca="1" si="140"/>
        <v>8.7029080993972323E-3</v>
      </c>
      <c r="BJ161" s="335">
        <f t="shared" ca="1" si="140"/>
        <v>8.3850898128375664E-3</v>
      </c>
      <c r="BK161" s="335">
        <f t="shared" ca="1" si="140"/>
        <v>8.0820098115069513E-3</v>
      </c>
      <c r="BL161" s="336">
        <f t="shared" ca="1" si="140"/>
        <v>7.7930180679555159E-3</v>
      </c>
    </row>
    <row r="162" spans="2:64" x14ac:dyDescent="0.25">
      <c r="B162" s="4" t="s">
        <v>361</v>
      </c>
      <c r="C162" s="5"/>
      <c r="D162" s="5"/>
      <c r="E162" s="5"/>
      <c r="F162" s="282"/>
      <c r="G162" s="3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14"/>
      <c r="AH162" s="4" t="s">
        <v>361</v>
      </c>
      <c r="AI162" s="5"/>
      <c r="AJ162" s="5"/>
      <c r="AK162" s="5"/>
      <c r="AL162" s="282"/>
      <c r="AM162" s="3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14"/>
    </row>
    <row r="163" spans="2:64" x14ac:dyDescent="0.25">
      <c r="B163" s="4"/>
      <c r="C163" s="5" t="s">
        <v>362</v>
      </c>
      <c r="D163" s="5"/>
      <c r="E163" s="5"/>
      <c r="F163" s="338" t="s">
        <v>8</v>
      </c>
      <c r="G163" s="245">
        <f t="shared" ref="G163:AF163" si="141">G24</f>
        <v>0.12</v>
      </c>
      <c r="H163" s="245">
        <f t="shared" ca="1" si="141"/>
        <v>0.12447809343495758</v>
      </c>
      <c r="I163" s="245">
        <f t="shared" ca="1" si="141"/>
        <v>0.12772751583659603</v>
      </c>
      <c r="J163" s="245">
        <f t="shared" ca="1" si="141"/>
        <v>0.13121701373783376</v>
      </c>
      <c r="K163" s="245">
        <f t="shared" ca="1" si="141"/>
        <v>0.13496087711330118</v>
      </c>
      <c r="L163" s="245">
        <f t="shared" ca="1" si="141"/>
        <v>0.13897428828856304</v>
      </c>
      <c r="M163" s="245">
        <f t="shared" ca="1" si="141"/>
        <v>0.14327337784429534</v>
      </c>
      <c r="N163" s="245">
        <f t="shared" ca="1" si="141"/>
        <v>0.14787528404857009</v>
      </c>
      <c r="O163" s="245">
        <f t="shared" ca="1" si="141"/>
        <v>0.15279821604078836</v>
      </c>
      <c r="P163" s="245">
        <f t="shared" ca="1" si="141"/>
        <v>0.1580615210050198</v>
      </c>
      <c r="Q163" s="245">
        <f t="shared" ca="1" si="141"/>
        <v>0.16368575558563672</v>
      </c>
      <c r="R163" s="245">
        <f t="shared" ca="1" si="141"/>
        <v>0.16969276181423315</v>
      </c>
      <c r="S163" s="245">
        <f t="shared" ca="1" si="141"/>
        <v>0.17610574783395577</v>
      </c>
      <c r="T163" s="245">
        <f t="shared" ca="1" si="141"/>
        <v>0.18294937372561296</v>
      </c>
      <c r="U163" s="245">
        <f t="shared" ca="1" si="141"/>
        <v>0.19024984275934054</v>
      </c>
      <c r="V163" s="245">
        <f t="shared" ca="1" si="141"/>
        <v>0.1980349984162646</v>
      </c>
      <c r="W163" s="245">
        <f t="shared" ca="1" si="141"/>
        <v>0.20633442754659315</v>
      </c>
      <c r="X163" s="245">
        <f t="shared" ca="1" si="141"/>
        <v>0.21517957005397592</v>
      </c>
      <c r="Y163" s="245">
        <f t="shared" ca="1" si="141"/>
        <v>0.22460383552088622</v>
      </c>
      <c r="Z163" s="245">
        <f t="shared" ca="1" si="141"/>
        <v>0.23464272721629492</v>
      </c>
      <c r="AA163" s="245">
        <f t="shared" ca="1" si="141"/>
        <v>0.2453339739551319</v>
      </c>
      <c r="AB163" s="245">
        <f t="shared" ca="1" si="141"/>
        <v>0.25671767030906778</v>
      </c>
      <c r="AC163" s="245">
        <f t="shared" ca="1" si="141"/>
        <v>0.26883642570012295</v>
      </c>
      <c r="AD163" s="245">
        <f t="shared" ca="1" si="141"/>
        <v>0.28173552294263216</v>
      </c>
      <c r="AE163" s="245">
        <f t="shared" ca="1" si="141"/>
        <v>0.29546308683531319</v>
      </c>
      <c r="AF163" s="248">
        <f t="shared" ca="1" si="141"/>
        <v>0.31007026344371968</v>
      </c>
      <c r="AH163" s="4"/>
      <c r="AI163" s="5" t="s">
        <v>362</v>
      </c>
      <c r="AJ163" s="5"/>
      <c r="AK163" s="5"/>
      <c r="AL163" s="338" t="s">
        <v>8</v>
      </c>
      <c r="AM163" s="245">
        <f t="shared" ref="AM163:BL163" si="142">AM24</f>
        <v>6.1831050228310508E-2</v>
      </c>
      <c r="AN163" s="245">
        <f t="shared" ca="1" si="142"/>
        <v>6.496853442554755E-2</v>
      </c>
      <c r="AO163" s="245">
        <f t="shared" ca="1" si="142"/>
        <v>6.787983928519585E-2</v>
      </c>
      <c r="AP163" s="245">
        <f t="shared" ca="1" si="142"/>
        <v>7.0985799293959179E-2</v>
      </c>
      <c r="AQ163" s="245">
        <f t="shared" ca="1" si="142"/>
        <v>7.4298773310946045E-2</v>
      </c>
      <c r="AR163" s="245">
        <f t="shared" ca="1" si="142"/>
        <v>7.7831912906173015E-2</v>
      </c>
      <c r="AS163" s="245">
        <f t="shared" ca="1" si="142"/>
        <v>8.1599213300784512E-2</v>
      </c>
      <c r="AT163" s="245">
        <f t="shared" ca="1" si="142"/>
        <v>8.5615567587137648E-2</v>
      </c>
      <c r="AU163" s="245">
        <f t="shared" ca="1" si="142"/>
        <v>8.989682444018364E-2</v>
      </c>
      <c r="AV163" s="245">
        <f t="shared" ca="1" si="142"/>
        <v>9.4459849545220506E-2</v>
      </c>
      <c r="AW163" s="245">
        <f t="shared" ca="1" si="142"/>
        <v>9.9322590981617567E-2</v>
      </c>
      <c r="AX163" s="245">
        <f t="shared" ca="1" si="142"/>
        <v>0.10450414881757808</v>
      </c>
      <c r="AY163" s="245">
        <f t="shared" ca="1" si="142"/>
        <v>0.11002484918747231</v>
      </c>
      <c r="AZ163" s="245">
        <f t="shared" ca="1" si="142"/>
        <v>0.1159063231408058</v>
      </c>
      <c r="BA163" s="245">
        <f t="shared" ca="1" si="142"/>
        <v>0.12217159057055389</v>
      </c>
      <c r="BB163" s="245">
        <f t="shared" ca="1" si="142"/>
        <v>0.12884514954846882</v>
      </c>
      <c r="BC163" s="245">
        <f t="shared" ca="1" si="142"/>
        <v>0.13595307141612761</v>
      </c>
      <c r="BD163" s="245">
        <f t="shared" ca="1" si="142"/>
        <v>0.14352310200302065</v>
      </c>
      <c r="BE163" s="245">
        <f t="shared" ca="1" si="142"/>
        <v>0.15158476936697213</v>
      </c>
      <c r="BF163" s="245">
        <f t="shared" ca="1" si="142"/>
        <v>0.16016949847772624</v>
      </c>
      <c r="BG163" s="245">
        <f t="shared" ca="1" si="142"/>
        <v>0.16931073329173235</v>
      </c>
      <c r="BH163" s="245">
        <f t="shared" ca="1" si="142"/>
        <v>0.1790440666951193</v>
      </c>
      <c r="BI163" s="245">
        <f t="shared" ca="1" si="142"/>
        <v>0.18940737882268355</v>
      </c>
      <c r="BJ163" s="245">
        <f t="shared" ca="1" si="142"/>
        <v>0.20044098429354318</v>
      </c>
      <c r="BK163" s="245">
        <f t="shared" ca="1" si="142"/>
        <v>0.21218778893906587</v>
      </c>
      <c r="BL163" s="248">
        <f t="shared" ca="1" si="142"/>
        <v>0.22469345663589302</v>
      </c>
    </row>
    <row r="164" spans="2:64" x14ac:dyDescent="0.25">
      <c r="B164" s="4"/>
      <c r="C164" s="5" t="s">
        <v>363</v>
      </c>
      <c r="D164" s="5"/>
      <c r="E164" s="5"/>
      <c r="F164" s="338" t="s">
        <v>19</v>
      </c>
      <c r="G164" s="34">
        <f t="shared" ref="G164:AF164" si="143">G16</f>
        <v>0.12</v>
      </c>
      <c r="H164" s="34">
        <f t="shared" ca="1" si="143"/>
        <v>0.12516901600758026</v>
      </c>
      <c r="I164" s="34">
        <f t="shared" ca="1" si="143"/>
        <v>0.12859014786342932</v>
      </c>
      <c r="J164" s="34">
        <f t="shared" ca="1" si="143"/>
        <v>0.13225119914264652</v>
      </c>
      <c r="K164" s="34">
        <f t="shared" ca="1" si="143"/>
        <v>0.13616650660240781</v>
      </c>
      <c r="L164" s="34">
        <f t="shared" ca="1" si="143"/>
        <v>0.14035126994722327</v>
      </c>
      <c r="M164" s="34">
        <f t="shared" ca="1" si="143"/>
        <v>0.14482160111909095</v>
      </c>
      <c r="N164" s="34">
        <f t="shared" ca="1" si="143"/>
        <v>0.14959457586464178</v>
      </c>
      <c r="O164" s="34">
        <f t="shared" ca="1" si="143"/>
        <v>0.15468828756339648</v>
      </c>
      <c r="P164" s="34">
        <f t="shared" ca="1" si="143"/>
        <v>0.16012190326560824</v>
      </c>
      <c r="Q164" s="34">
        <f t="shared" ca="1" si="143"/>
        <v>0.16591572184181186</v>
      </c>
      <c r="R164" s="34">
        <f t="shared" ca="1" si="143"/>
        <v>0.17157041198162454</v>
      </c>
      <c r="S164" s="34">
        <f t="shared" ca="1" si="143"/>
        <v>0.17800298950878388</v>
      </c>
      <c r="T164" s="34">
        <f t="shared" ca="1" si="143"/>
        <v>0.18486778649486579</v>
      </c>
      <c r="U164" s="34">
        <f t="shared" ca="1" si="143"/>
        <v>0.19219106919892717</v>
      </c>
      <c r="V164" s="34">
        <f t="shared" ca="1" si="143"/>
        <v>0.20000074678724175</v>
      </c>
      <c r="W164" s="34">
        <f t="shared" ca="1" si="143"/>
        <v>0.20832647458996334</v>
      </c>
      <c r="X164" s="34">
        <f t="shared" ca="1" si="143"/>
        <v>0.21719976388649248</v>
      </c>
      <c r="Y164" s="34">
        <f t="shared" ca="1" si="143"/>
        <v>0.2266540986342481</v>
      </c>
      <c r="Z164" s="34">
        <f t="shared" ca="1" si="143"/>
        <v>0.23672505958205037</v>
      </c>
      <c r="AA164" s="34">
        <f t="shared" ca="1" si="143"/>
        <v>0.24745045623752998</v>
      </c>
      <c r="AB164" s="34">
        <f t="shared" ca="1" si="143"/>
        <v>0.25887046718800327</v>
      </c>
      <c r="AC164" s="34">
        <f t="shared" ca="1" si="143"/>
        <v>0.27102778930620658</v>
      </c>
      <c r="AD164" s="34">
        <f t="shared" ca="1" si="143"/>
        <v>0.2839677964062885</v>
      </c>
      <c r="AE164" s="34">
        <f t="shared" ca="1" si="143"/>
        <v>0.29773870795165697</v>
      </c>
      <c r="AF164" s="153">
        <f t="shared" ca="1" si="143"/>
        <v>0.31239176845478556</v>
      </c>
      <c r="AH164" s="4"/>
      <c r="AI164" s="5" t="s">
        <v>363</v>
      </c>
      <c r="AJ164" s="5"/>
      <c r="AK164" s="5"/>
      <c r="AL164" s="338" t="s">
        <v>19</v>
      </c>
      <c r="AM164" s="34">
        <f t="shared" ref="AM164:BL164" si="144">AM16</f>
        <v>6.1831050228310508E-2</v>
      </c>
      <c r="AN164" s="34">
        <f t="shared" ca="1" si="144"/>
        <v>6.5306105618383584E-2</v>
      </c>
      <c r="AO164" s="34">
        <f t="shared" ca="1" si="144"/>
        <v>6.8312267347205774E-2</v>
      </c>
      <c r="AP164" s="34">
        <f t="shared" ca="1" si="144"/>
        <v>7.1519720756052632E-2</v>
      </c>
      <c r="AQ164" s="34">
        <f t="shared" ca="1" si="144"/>
        <v>7.4941489040178666E-2</v>
      </c>
      <c r="AR164" s="34">
        <f t="shared" ca="1" si="144"/>
        <v>7.8591464743321862E-2</v>
      </c>
      <c r="AS164" s="34">
        <f t="shared" ca="1" si="144"/>
        <v>8.2484470741042412E-2</v>
      </c>
      <c r="AT164" s="34">
        <f t="shared" ca="1" si="144"/>
        <v>8.6636326002167988E-2</v>
      </c>
      <c r="AU164" s="34">
        <f t="shared" ca="1" si="144"/>
        <v>9.1063916597289879E-2</v>
      </c>
      <c r="AV164" s="34">
        <f t="shared" ca="1" si="144"/>
        <v>9.5785272488154716E-2</v>
      </c>
      <c r="AW164" s="34">
        <f t="shared" ca="1" si="144"/>
        <v>0.1008196507093413</v>
      </c>
      <c r="AX164" s="34">
        <f t="shared" ca="1" si="144"/>
        <v>0.10590020138524003</v>
      </c>
      <c r="AY164" s="34">
        <f t="shared" ca="1" si="144"/>
        <v>0.11143716003944902</v>
      </c>
      <c r="AZ164" s="34">
        <f t="shared" ca="1" si="144"/>
        <v>0.11733606196175357</v>
      </c>
      <c r="BA164" s="34">
        <f t="shared" ca="1" si="144"/>
        <v>0.12361997787344781</v>
      </c>
      <c r="BB164" s="34">
        <f t="shared" ca="1" si="144"/>
        <v>0.13031345891777535</v>
      </c>
      <c r="BC164" s="34">
        <f t="shared" ca="1" si="144"/>
        <v>0.13744263183878086</v>
      </c>
      <c r="BD164" s="34">
        <f t="shared" ca="1" si="144"/>
        <v>0.14503530028975514</v>
      </c>
      <c r="BE164" s="34">
        <f t="shared" ca="1" si="144"/>
        <v>0.15312105266655684</v>
      </c>
      <c r="BF164" s="34">
        <f t="shared" ca="1" si="144"/>
        <v>0.16173137688662714</v>
      </c>
      <c r="BG164" s="34">
        <f t="shared" ca="1" si="144"/>
        <v>0.17089978256170399</v>
      </c>
      <c r="BH164" s="34">
        <f t="shared" ca="1" si="144"/>
        <v>0.18066193104118677</v>
      </c>
      <c r="BI164" s="34">
        <f t="shared" ca="1" si="144"/>
        <v>0.19105577383392508</v>
      </c>
      <c r="BJ164" s="34">
        <f t="shared" ca="1" si="144"/>
        <v>0.2021216999490181</v>
      </c>
      <c r="BK164" s="34">
        <f t="shared" ca="1" si="144"/>
        <v>0.21390269273115337</v>
      </c>
      <c r="BL164" s="153">
        <f t="shared" ca="1" si="144"/>
        <v>0.22644449680320791</v>
      </c>
    </row>
    <row r="165" spans="2:64" x14ac:dyDescent="0.25">
      <c r="B165" s="10" t="s">
        <v>364</v>
      </c>
      <c r="C165" s="11"/>
      <c r="D165" s="11"/>
      <c r="E165" s="11"/>
      <c r="F165" s="337"/>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243"/>
      <c r="AH165" s="10" t="s">
        <v>364</v>
      </c>
      <c r="AI165" s="11"/>
      <c r="AJ165" s="11"/>
      <c r="AK165" s="11"/>
      <c r="AL165" s="337"/>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243"/>
    </row>
    <row r="166" spans="2:64" x14ac:dyDescent="0.25">
      <c r="B166" s="10"/>
      <c r="C166" s="11" t="str">
        <f>D18</f>
        <v>Variable Cost Rate</v>
      </c>
      <c r="D166" s="11"/>
      <c r="E166" s="11"/>
      <c r="F166" s="337" t="s">
        <v>8</v>
      </c>
      <c r="G166" s="33">
        <f t="shared" ref="G166:AF166" si="145">G18</f>
        <v>3.9E-2</v>
      </c>
      <c r="H166" s="33">
        <f t="shared" si="145"/>
        <v>4.1534999999999996E-2</v>
      </c>
      <c r="I166" s="33">
        <f t="shared" si="145"/>
        <v>4.423477499999999E-2</v>
      </c>
      <c r="J166" s="33">
        <f t="shared" si="145"/>
        <v>4.7110035374999984E-2</v>
      </c>
      <c r="K166" s="33">
        <f t="shared" si="145"/>
        <v>5.017218767437498E-2</v>
      </c>
      <c r="L166" s="33">
        <f t="shared" si="145"/>
        <v>5.3433379873209348E-2</v>
      </c>
      <c r="M166" s="33">
        <f t="shared" si="145"/>
        <v>5.6906549564967955E-2</v>
      </c>
      <c r="N166" s="33">
        <f t="shared" si="145"/>
        <v>6.0605475286690871E-2</v>
      </c>
      <c r="O166" s="33">
        <f t="shared" si="145"/>
        <v>6.4544831180325779E-2</v>
      </c>
      <c r="P166" s="33">
        <f t="shared" si="145"/>
        <v>6.8740245207046954E-2</v>
      </c>
      <c r="Q166" s="33">
        <f t="shared" si="145"/>
        <v>7.3208361145504997E-2</v>
      </c>
      <c r="R166" s="33">
        <f t="shared" si="145"/>
        <v>7.7966904619962821E-2</v>
      </c>
      <c r="S166" s="33">
        <f t="shared" si="145"/>
        <v>8.3034753420260399E-2</v>
      </c>
      <c r="T166" s="33">
        <f t="shared" si="145"/>
        <v>8.8432012392577322E-2</v>
      </c>
      <c r="U166" s="33">
        <f t="shared" si="145"/>
        <v>9.4180093198094839E-2</v>
      </c>
      <c r="V166" s="33">
        <f t="shared" si="145"/>
        <v>0.10030179925597099</v>
      </c>
      <c r="W166" s="33">
        <f t="shared" si="145"/>
        <v>0.1068214162076091</v>
      </c>
      <c r="X166" s="33">
        <f t="shared" si="145"/>
        <v>0.11376480826110369</v>
      </c>
      <c r="Y166" s="33">
        <f t="shared" si="145"/>
        <v>0.12115952079807542</v>
      </c>
      <c r="Z166" s="33">
        <f t="shared" si="145"/>
        <v>0.1290348896499503</v>
      </c>
      <c r="AA166" s="33">
        <f t="shared" si="145"/>
        <v>0.13742215747719708</v>
      </c>
      <c r="AB166" s="33">
        <f t="shared" si="145"/>
        <v>0.14635459771321488</v>
      </c>
      <c r="AC166" s="33">
        <f t="shared" si="145"/>
        <v>0.15586764656457383</v>
      </c>
      <c r="AD166" s="33">
        <f t="shared" si="145"/>
        <v>0.16599904359127113</v>
      </c>
      <c r="AE166" s="33">
        <f t="shared" si="145"/>
        <v>0.17678898142470376</v>
      </c>
      <c r="AF166" s="243">
        <f t="shared" si="145"/>
        <v>0.18828026521730948</v>
      </c>
      <c r="AH166" s="10"/>
      <c r="AI166" s="11" t="str">
        <f>AJ18</f>
        <v>Variable Cost Rate</v>
      </c>
      <c r="AJ166" s="11"/>
      <c r="AK166" s="11"/>
      <c r="AL166" s="337" t="s">
        <v>8</v>
      </c>
      <c r="AM166" s="33">
        <f t="shared" ref="AM166:BL166" si="146">AM18</f>
        <v>3.9E-2</v>
      </c>
      <c r="AN166" s="33">
        <f t="shared" si="146"/>
        <v>4.1534999999999996E-2</v>
      </c>
      <c r="AO166" s="33">
        <f t="shared" si="146"/>
        <v>4.423477499999999E-2</v>
      </c>
      <c r="AP166" s="33">
        <f t="shared" si="146"/>
        <v>4.7110035374999984E-2</v>
      </c>
      <c r="AQ166" s="33">
        <f t="shared" si="146"/>
        <v>5.017218767437498E-2</v>
      </c>
      <c r="AR166" s="33">
        <f t="shared" si="146"/>
        <v>5.3433379873209348E-2</v>
      </c>
      <c r="AS166" s="33">
        <f t="shared" si="146"/>
        <v>5.6906549564967955E-2</v>
      </c>
      <c r="AT166" s="33">
        <f t="shared" si="146"/>
        <v>6.0605475286690871E-2</v>
      </c>
      <c r="AU166" s="33">
        <f t="shared" si="146"/>
        <v>6.4544831180325779E-2</v>
      </c>
      <c r="AV166" s="33">
        <f t="shared" si="146"/>
        <v>6.8740245207046954E-2</v>
      </c>
      <c r="AW166" s="33">
        <f t="shared" si="146"/>
        <v>7.3208361145504997E-2</v>
      </c>
      <c r="AX166" s="33">
        <f t="shared" si="146"/>
        <v>7.7966904619962821E-2</v>
      </c>
      <c r="AY166" s="33">
        <f t="shared" si="146"/>
        <v>8.3034753420260399E-2</v>
      </c>
      <c r="AZ166" s="33">
        <f t="shared" si="146"/>
        <v>8.8432012392577322E-2</v>
      </c>
      <c r="BA166" s="33">
        <f t="shared" si="146"/>
        <v>9.4180093198094839E-2</v>
      </c>
      <c r="BB166" s="33">
        <f t="shared" si="146"/>
        <v>0.10030179925597099</v>
      </c>
      <c r="BC166" s="33">
        <f t="shared" si="146"/>
        <v>0.1068214162076091</v>
      </c>
      <c r="BD166" s="33">
        <f t="shared" si="146"/>
        <v>0.11376480826110369</v>
      </c>
      <c r="BE166" s="33">
        <f t="shared" si="146"/>
        <v>0.12115952079807542</v>
      </c>
      <c r="BF166" s="33">
        <f t="shared" si="146"/>
        <v>0.1290348896499503</v>
      </c>
      <c r="BG166" s="33">
        <f t="shared" si="146"/>
        <v>0.13742215747719708</v>
      </c>
      <c r="BH166" s="33">
        <f t="shared" si="146"/>
        <v>0.14635459771321488</v>
      </c>
      <c r="BI166" s="33">
        <f t="shared" si="146"/>
        <v>0.15586764656457383</v>
      </c>
      <c r="BJ166" s="33">
        <f t="shared" si="146"/>
        <v>0.16599904359127113</v>
      </c>
      <c r="BK166" s="33">
        <f t="shared" si="146"/>
        <v>0.17678898142470376</v>
      </c>
      <c r="BL166" s="243">
        <f t="shared" si="146"/>
        <v>0.18828026521730948</v>
      </c>
    </row>
    <row r="167" spans="2:64" x14ac:dyDescent="0.25">
      <c r="B167" s="10"/>
      <c r="C167" s="11" t="str">
        <f>D20</f>
        <v>Fixed Cost Rate</v>
      </c>
      <c r="D167" s="11"/>
      <c r="E167" s="11"/>
      <c r="F167" s="337" t="s">
        <v>19</v>
      </c>
      <c r="G167" s="33">
        <f t="shared" ref="G167:AF167" si="147">G20</f>
        <v>8.0999999999999989E-2</v>
      </c>
      <c r="H167" s="33">
        <f t="shared" si="147"/>
        <v>8.2943093434957593E-2</v>
      </c>
      <c r="I167" s="33">
        <f t="shared" si="147"/>
        <v>8.3492740836596024E-2</v>
      </c>
      <c r="J167" s="33">
        <f t="shared" si="147"/>
        <v>8.4106978362833762E-2</v>
      </c>
      <c r="K167" s="33">
        <f t="shared" si="147"/>
        <v>8.4788689438926201E-2</v>
      </c>
      <c r="L167" s="33">
        <f t="shared" si="147"/>
        <v>8.5540908415353681E-2</v>
      </c>
      <c r="M167" s="33">
        <f t="shared" si="147"/>
        <v>8.6366828279327373E-2</v>
      </c>
      <c r="N167" s="33">
        <f t="shared" si="147"/>
        <v>8.7269808761879203E-2</v>
      </c>
      <c r="O167" s="33">
        <f t="shared" si="147"/>
        <v>8.8253384860462553E-2</v>
      </c>
      <c r="P167" s="33">
        <f t="shared" si="147"/>
        <v>8.9321275797972804E-2</v>
      </c>
      <c r="Q167" s="33">
        <f t="shared" si="147"/>
        <v>9.0477394440131684E-2</v>
      </c>
      <c r="R167" s="33">
        <f t="shared" si="147"/>
        <v>9.1725857194270288E-2</v>
      </c>
      <c r="S167" s="33">
        <f t="shared" si="147"/>
        <v>9.307099441369536E-2</v>
      </c>
      <c r="T167" s="33">
        <f t="shared" si="147"/>
        <v>9.4517361333035607E-2</v>
      </c>
      <c r="U167" s="33">
        <f t="shared" si="147"/>
        <v>9.6069749561245657E-2</v>
      </c>
      <c r="V167" s="33">
        <f t="shared" si="147"/>
        <v>9.7733199160293549E-2</v>
      </c>
      <c r="W167" s="33">
        <f t="shared" si="147"/>
        <v>9.9513011338983992E-2</v>
      </c>
      <c r="X167" s="33">
        <f t="shared" si="147"/>
        <v>0.10141476179287219</v>
      </c>
      <c r="Y167" s="33">
        <f t="shared" si="147"/>
        <v>0.10344431472281072</v>
      </c>
      <c r="Z167" s="33">
        <f t="shared" si="147"/>
        <v>0.10560783756634455</v>
      </c>
      <c r="AA167" s="33">
        <f t="shared" si="147"/>
        <v>0.10791181647793473</v>
      </c>
      <c r="AB167" s="33">
        <f t="shared" si="147"/>
        <v>0.11036307259585283</v>
      </c>
      <c r="AC167" s="33">
        <f t="shared" si="147"/>
        <v>0.11296877913554904</v>
      </c>
      <c r="AD167" s="33">
        <f t="shared" si="147"/>
        <v>0.11573647935136099</v>
      </c>
      <c r="AE167" s="33">
        <f t="shared" si="147"/>
        <v>0.11867410541060937</v>
      </c>
      <c r="AF167" s="243">
        <f t="shared" si="147"/>
        <v>0.12178999822641011</v>
      </c>
      <c r="AH167" s="10"/>
      <c r="AI167" s="11" t="str">
        <f>AJ20</f>
        <v>Fixed Cost Rate</v>
      </c>
      <c r="AJ167" s="11"/>
      <c r="AK167" s="11"/>
      <c r="AL167" s="337" t="s">
        <v>19</v>
      </c>
      <c r="AM167" s="33">
        <f t="shared" ref="AM167:BL167" si="148">AM20</f>
        <v>2.2831050228310504E-2</v>
      </c>
      <c r="AN167" s="33">
        <f t="shared" si="148"/>
        <v>2.3433534425547551E-2</v>
      </c>
      <c r="AO167" s="33">
        <f t="shared" si="148"/>
        <v>2.3645064285195864E-2</v>
      </c>
      <c r="AP167" s="33">
        <f t="shared" si="148"/>
        <v>2.3875763918959198E-2</v>
      </c>
      <c r="AQ167" s="33">
        <f t="shared" si="148"/>
        <v>2.4126585636571062E-2</v>
      </c>
      <c r="AR167" s="33">
        <f t="shared" si="148"/>
        <v>2.439853303296367E-2</v>
      </c>
      <c r="AS167" s="33">
        <f t="shared" si="148"/>
        <v>2.4692663735816564E-2</v>
      </c>
      <c r="AT167" s="33">
        <f t="shared" si="148"/>
        <v>2.5010092300446776E-2</v>
      </c>
      <c r="AU167" s="33">
        <f t="shared" si="148"/>
        <v>2.5351993259857857E-2</v>
      </c>
      <c r="AV167" s="33">
        <f t="shared" si="148"/>
        <v>2.5719604338173548E-2</v>
      </c>
      <c r="AW167" s="33">
        <f t="shared" si="148"/>
        <v>2.6114229836112574E-2</v>
      </c>
      <c r="AX167" s="33">
        <f t="shared" si="148"/>
        <v>2.6537244197615259E-2</v>
      </c>
      <c r="AY167" s="33">
        <f t="shared" si="148"/>
        <v>2.6990095767211911E-2</v>
      </c>
      <c r="AZ167" s="33">
        <f t="shared" si="148"/>
        <v>2.7474310748228484E-2</v>
      </c>
      <c r="BA167" s="33">
        <f t="shared" si="148"/>
        <v>2.7991497372459057E-2</v>
      </c>
      <c r="BB167" s="33">
        <f t="shared" si="148"/>
        <v>2.854335029249783E-2</v>
      </c>
      <c r="BC167" s="33">
        <f t="shared" si="148"/>
        <v>2.91316552085185E-2</v>
      </c>
      <c r="BD167" s="33">
        <f t="shared" si="148"/>
        <v>2.9758293741916977E-2</v>
      </c>
      <c r="BE167" s="33">
        <f t="shared" si="148"/>
        <v>3.042524856889672E-2</v>
      </c>
      <c r="BF167" s="33">
        <f t="shared" si="148"/>
        <v>3.1134608827775939E-2</v>
      </c>
      <c r="BG167" s="33">
        <f t="shared" si="148"/>
        <v>3.1888575814535275E-2</v>
      </c>
      <c r="BH167" s="33">
        <f t="shared" si="148"/>
        <v>3.2689468981904432E-2</v>
      </c>
      <c r="BI167" s="33">
        <f t="shared" si="148"/>
        <v>3.3539732258109724E-2</v>
      </c>
      <c r="BJ167" s="33">
        <f t="shared" si="148"/>
        <v>3.4441940702272043E-2</v>
      </c>
      <c r="BK167" s="33">
        <f t="shared" si="148"/>
        <v>3.5398807514362106E-2</v>
      </c>
      <c r="BL167" s="243">
        <f t="shared" si="148"/>
        <v>3.6413191418583547E-2</v>
      </c>
    </row>
    <row r="168" spans="2:64" x14ac:dyDescent="0.25">
      <c r="B168" s="10"/>
      <c r="C168" s="11" t="str">
        <f>D22</f>
        <v>EE Program Cost Recovery Rate</v>
      </c>
      <c r="D168" s="11"/>
      <c r="E168" s="11"/>
      <c r="F168" s="337" t="s">
        <v>19</v>
      </c>
      <c r="G168" s="44">
        <f t="shared" ref="G168:AF168" si="149">G22</f>
        <v>0</v>
      </c>
      <c r="H168" s="44">
        <f t="shared" si="149"/>
        <v>6.9727328247562871E-4</v>
      </c>
      <c r="I168" s="44">
        <f t="shared" si="149"/>
        <v>7.100436446132232E-4</v>
      </c>
      <c r="J168" s="44">
        <f t="shared" si="149"/>
        <v>7.2304774973297784E-4</v>
      </c>
      <c r="K168" s="44">
        <f t="shared" si="149"/>
        <v>7.3628987759257109E-4</v>
      </c>
      <c r="L168" s="44">
        <f t="shared" si="149"/>
        <v>7.4977438641383911E-4</v>
      </c>
      <c r="M168" s="44">
        <f t="shared" si="149"/>
        <v>7.6350571432446496E-4</v>
      </c>
      <c r="N168" s="44">
        <f t="shared" si="149"/>
        <v>7.7748838082623145E-4</v>
      </c>
      <c r="O168" s="44">
        <f t="shared" si="149"/>
        <v>7.9172698829032683E-4</v>
      </c>
      <c r="P168" s="44">
        <f t="shared" si="149"/>
        <v>8.0622622348020597E-4</v>
      </c>
      <c r="Q168" s="44">
        <f t="shared" si="149"/>
        <v>8.2099085910251445E-4</v>
      </c>
      <c r="R168" s="44">
        <f t="shared" si="149"/>
        <v>0</v>
      </c>
      <c r="S168" s="44">
        <f t="shared" si="149"/>
        <v>0</v>
      </c>
      <c r="T168" s="44">
        <f t="shared" si="149"/>
        <v>0</v>
      </c>
      <c r="U168" s="44">
        <f t="shared" si="149"/>
        <v>0</v>
      </c>
      <c r="V168" s="44">
        <f t="shared" si="149"/>
        <v>0</v>
      </c>
      <c r="W168" s="44">
        <f t="shared" si="149"/>
        <v>0</v>
      </c>
      <c r="X168" s="44">
        <f t="shared" si="149"/>
        <v>0</v>
      </c>
      <c r="Y168" s="44">
        <f t="shared" si="149"/>
        <v>0</v>
      </c>
      <c r="Z168" s="44">
        <f t="shared" si="149"/>
        <v>0</v>
      </c>
      <c r="AA168" s="44">
        <f t="shared" si="149"/>
        <v>0</v>
      </c>
      <c r="AB168" s="44">
        <f t="shared" si="149"/>
        <v>0</v>
      </c>
      <c r="AC168" s="44">
        <f t="shared" si="149"/>
        <v>0</v>
      </c>
      <c r="AD168" s="44">
        <f t="shared" si="149"/>
        <v>0</v>
      </c>
      <c r="AE168" s="44">
        <f t="shared" si="149"/>
        <v>0</v>
      </c>
      <c r="AF168" s="45">
        <f t="shared" si="149"/>
        <v>0</v>
      </c>
      <c r="AH168" s="10"/>
      <c r="AI168" s="11" t="s">
        <v>289</v>
      </c>
      <c r="AJ168" s="11"/>
      <c r="AK168" s="11"/>
      <c r="AL168" s="337" t="s">
        <v>19</v>
      </c>
      <c r="AM168" s="60">
        <f t="shared" ref="AM168:BL168" si="150">AM44</f>
        <v>2.2831050228310504E-2</v>
      </c>
      <c r="AN168" s="60">
        <f t="shared" si="150"/>
        <v>2.3433534425547551E-2</v>
      </c>
      <c r="AO168" s="60">
        <f t="shared" si="150"/>
        <v>2.364506428519586E-2</v>
      </c>
      <c r="AP168" s="60">
        <f t="shared" si="150"/>
        <v>2.3875763918959198E-2</v>
      </c>
      <c r="AQ168" s="60">
        <f t="shared" si="150"/>
        <v>2.4126585636571059E-2</v>
      </c>
      <c r="AR168" s="60">
        <f t="shared" si="150"/>
        <v>2.4398533032963667E-2</v>
      </c>
      <c r="AS168" s="60">
        <f t="shared" si="150"/>
        <v>2.4692663735816557E-2</v>
      </c>
      <c r="AT168" s="60">
        <f t="shared" si="150"/>
        <v>2.5010092300446766E-2</v>
      </c>
      <c r="AU168" s="60">
        <f t="shared" si="150"/>
        <v>2.5351993259857847E-2</v>
      </c>
      <c r="AV168" s="60">
        <f t="shared" si="150"/>
        <v>2.5719604338173538E-2</v>
      </c>
      <c r="AW168" s="60">
        <f t="shared" si="150"/>
        <v>2.6114229836112564E-2</v>
      </c>
      <c r="AX168" s="60">
        <f t="shared" si="150"/>
        <v>2.6537244197615249E-2</v>
      </c>
      <c r="AY168" s="60">
        <f t="shared" si="150"/>
        <v>2.6990095767211904E-2</v>
      </c>
      <c r="AZ168" s="60">
        <f t="shared" si="150"/>
        <v>2.7474310748228471E-2</v>
      </c>
      <c r="BA168" s="60">
        <f t="shared" si="150"/>
        <v>2.7991497372459047E-2</v>
      </c>
      <c r="BB168" s="60">
        <f t="shared" si="150"/>
        <v>2.8543350292497823E-2</v>
      </c>
      <c r="BC168" s="60">
        <f t="shared" si="150"/>
        <v>2.9131655208518493E-2</v>
      </c>
      <c r="BD168" s="60">
        <f t="shared" si="150"/>
        <v>2.9758293741916974E-2</v>
      </c>
      <c r="BE168" s="60">
        <f t="shared" si="150"/>
        <v>3.042524856889672E-2</v>
      </c>
      <c r="BF168" s="60">
        <f t="shared" si="150"/>
        <v>3.1134608827775932E-2</v>
      </c>
      <c r="BG168" s="60">
        <f t="shared" si="150"/>
        <v>3.1888575814535268E-2</v>
      </c>
      <c r="BH168" s="60">
        <f t="shared" si="150"/>
        <v>3.2689468981904432E-2</v>
      </c>
      <c r="BI168" s="60">
        <f t="shared" si="150"/>
        <v>3.3539732258109724E-2</v>
      </c>
      <c r="BJ168" s="60">
        <f t="shared" si="150"/>
        <v>3.4441940702272043E-2</v>
      </c>
      <c r="BK168" s="60">
        <f t="shared" si="150"/>
        <v>3.5398807514362099E-2</v>
      </c>
      <c r="BL168" s="61">
        <f t="shared" si="150"/>
        <v>3.6413191418583533E-2</v>
      </c>
    </row>
    <row r="169" spans="2:64" x14ac:dyDescent="0.25">
      <c r="B169" s="10"/>
      <c r="C169" s="11" t="s">
        <v>365</v>
      </c>
      <c r="D169" s="11"/>
      <c r="E169" s="11"/>
      <c r="F169" s="337" t="s">
        <v>19</v>
      </c>
      <c r="G169" s="44">
        <f t="shared" ref="G169:AF169" si="151">G21</f>
        <v>0</v>
      </c>
      <c r="H169" s="44">
        <f t="shared" si="151"/>
        <v>1.8450257304749131E-4</v>
      </c>
      <c r="I169" s="44">
        <f t="shared" si="151"/>
        <v>3.7135665514529179E-4</v>
      </c>
      <c r="J169" s="44">
        <f t="shared" si="151"/>
        <v>5.6098899654877048E-4</v>
      </c>
      <c r="K169" s="44">
        <f t="shared" si="151"/>
        <v>7.5385148173124435E-4</v>
      </c>
      <c r="L169" s="44">
        <f t="shared" si="151"/>
        <v>9.5042275569002599E-4</v>
      </c>
      <c r="M169" s="44">
        <f t="shared" si="151"/>
        <v>1.1512099488894159E-3</v>
      </c>
      <c r="N169" s="44">
        <f t="shared" si="151"/>
        <v>1.356750506664176E-3</v>
      </c>
      <c r="O169" s="44">
        <f t="shared" si="151"/>
        <v>1.5676141292365214E-3</v>
      </c>
      <c r="P169" s="44">
        <f t="shared" si="151"/>
        <v>1.7844048288480048E-3</v>
      </c>
      <c r="Q169" s="44">
        <f t="shared" si="151"/>
        <v>2.0077631108740123E-3</v>
      </c>
      <c r="R169" s="44">
        <f t="shared" si="151"/>
        <v>2.0354674615416096E-3</v>
      </c>
      <c r="S169" s="44">
        <f t="shared" si="151"/>
        <v>2.0653170930980472E-3</v>
      </c>
      <c r="T169" s="44">
        <f t="shared" si="151"/>
        <v>2.0974130897103453E-3</v>
      </c>
      <c r="U169" s="44">
        <f t="shared" si="151"/>
        <v>2.1318617808739459E-3</v>
      </c>
      <c r="V169" s="44">
        <f t="shared" si="151"/>
        <v>2.1687750094481475E-3</v>
      </c>
      <c r="W169" s="44">
        <f t="shared" si="151"/>
        <v>2.2082704133418009E-3</v>
      </c>
      <c r="X169" s="44">
        <f t="shared" si="151"/>
        <v>2.2504717215363116E-3</v>
      </c>
      <c r="Y169" s="44">
        <f t="shared" si="151"/>
        <v>2.295509065167962E-3</v>
      </c>
      <c r="Z169" s="44">
        <f t="shared" si="151"/>
        <v>2.3435193044289387E-3</v>
      </c>
      <c r="AA169" s="44">
        <f t="shared" si="151"/>
        <v>2.3946463720854127E-3</v>
      </c>
      <c r="AB169" s="44">
        <f t="shared" si="151"/>
        <v>2.4490416344524844E-3</v>
      </c>
      <c r="AC169" s="44">
        <f t="shared" si="151"/>
        <v>2.5068642707091688E-3</v>
      </c>
      <c r="AD169" s="44">
        <f t="shared" si="151"/>
        <v>2.5682816714825839E-3</v>
      </c>
      <c r="AE169" s="44">
        <f t="shared" si="151"/>
        <v>2.6334698576786909E-3</v>
      </c>
      <c r="AF169" s="45">
        <f t="shared" si="151"/>
        <v>2.7026139205876074E-3</v>
      </c>
      <c r="AH169" s="10"/>
      <c r="AI169" s="11" t="str">
        <f>AJ22</f>
        <v>EE Program Cost Recovery Rate</v>
      </c>
      <c r="AJ169" s="11"/>
      <c r="AK169" s="11"/>
      <c r="AL169" s="337" t="s">
        <v>19</v>
      </c>
      <c r="AM169" s="44">
        <f t="shared" ref="AM169:BL169" si="152">AM22</f>
        <v>0</v>
      </c>
      <c r="AN169" s="44">
        <f t="shared" si="152"/>
        <v>2.4484389404384044E-4</v>
      </c>
      <c r="AO169" s="44">
        <f t="shared" si="152"/>
        <v>2.5019523744939135E-4</v>
      </c>
      <c r="AP169" s="44">
        <f t="shared" si="152"/>
        <v>2.5573329203229349E-4</v>
      </c>
      <c r="AQ169" s="44">
        <f t="shared" si="152"/>
        <v>2.6146988436329512E-4</v>
      </c>
      <c r="AR169" s="44">
        <f t="shared" si="152"/>
        <v>2.6741793980497743E-4</v>
      </c>
      <c r="AS169" s="44">
        <f t="shared" si="152"/>
        <v>2.7359161130024751E-4</v>
      </c>
      <c r="AT169" s="44">
        <f t="shared" si="152"/>
        <v>2.8000642649013858E-4</v>
      </c>
      <c r="AU169" s="44">
        <f t="shared" si="152"/>
        <v>2.8667945627565438E-4</v>
      </c>
      <c r="AV169" s="44">
        <f t="shared" si="152"/>
        <v>2.9362950855908601E-4</v>
      </c>
      <c r="AW169" s="44">
        <f t="shared" si="152"/>
        <v>3.0087735166367763E-4</v>
      </c>
      <c r="AX169" s="44">
        <f t="shared" si="152"/>
        <v>0</v>
      </c>
      <c r="AY169" s="44">
        <f t="shared" si="152"/>
        <v>0</v>
      </c>
      <c r="AZ169" s="44">
        <f t="shared" si="152"/>
        <v>0</v>
      </c>
      <c r="BA169" s="44">
        <f t="shared" si="152"/>
        <v>0</v>
      </c>
      <c r="BB169" s="44">
        <f t="shared" si="152"/>
        <v>0</v>
      </c>
      <c r="BC169" s="44">
        <f t="shared" si="152"/>
        <v>0</v>
      </c>
      <c r="BD169" s="44">
        <f t="shared" si="152"/>
        <v>0</v>
      </c>
      <c r="BE169" s="44">
        <f t="shared" si="152"/>
        <v>0</v>
      </c>
      <c r="BF169" s="44">
        <f t="shared" si="152"/>
        <v>0</v>
      </c>
      <c r="BG169" s="44">
        <f t="shared" si="152"/>
        <v>0</v>
      </c>
      <c r="BH169" s="44">
        <f t="shared" si="152"/>
        <v>0</v>
      </c>
      <c r="BI169" s="44">
        <f t="shared" si="152"/>
        <v>0</v>
      </c>
      <c r="BJ169" s="44">
        <f t="shared" si="152"/>
        <v>0</v>
      </c>
      <c r="BK169" s="44">
        <f t="shared" si="152"/>
        <v>0</v>
      </c>
      <c r="BL169" s="45">
        <f t="shared" si="152"/>
        <v>0</v>
      </c>
    </row>
    <row r="170" spans="2:64" x14ac:dyDescent="0.25">
      <c r="B170" s="10"/>
      <c r="C170" s="11" t="str">
        <f>E19</f>
        <v>Use-Shift Rate Impact</v>
      </c>
      <c r="D170" s="11"/>
      <c r="E170" s="11"/>
      <c r="F170" s="337" t="s">
        <v>19</v>
      </c>
      <c r="G170" s="44">
        <f t="shared" ref="G170:AF170" si="153">G19</f>
        <v>0</v>
      </c>
      <c r="H170" s="44">
        <f t="shared" si="153"/>
        <v>-2.195559490633589E-4</v>
      </c>
      <c r="I170" s="44">
        <f t="shared" si="153"/>
        <v>-2.4533681547458247E-4</v>
      </c>
      <c r="J170" s="44">
        <f t="shared" si="153"/>
        <v>-2.7427986149518302E-4</v>
      </c>
      <c r="K170" s="44">
        <f t="shared" si="153"/>
        <v>-3.0679390555141822E-4</v>
      </c>
      <c r="L170" s="44">
        <f t="shared" si="153"/>
        <v>-3.4334400491015798E-4</v>
      </c>
      <c r="M170" s="44">
        <f t="shared" si="153"/>
        <v>-3.8445979592180435E-4</v>
      </c>
      <c r="N170" s="44">
        <f t="shared" si="153"/>
        <v>-4.3074518986441906E-4</v>
      </c>
      <c r="O170" s="44">
        <f t="shared" si="153"/>
        <v>-4.8288966996438976E-4</v>
      </c>
      <c r="P170" s="44">
        <f t="shared" si="153"/>
        <v>-5.4168148537715732E-4</v>
      </c>
      <c r="Q170" s="44">
        <f t="shared" si="153"/>
        <v>-6.0802309976602797E-4</v>
      </c>
      <c r="R170" s="44">
        <f t="shared" si="153"/>
        <v>-1.5781729415015322E-4</v>
      </c>
      <c r="S170" s="44">
        <f t="shared" si="153"/>
        <v>-1.6807541826992234E-4</v>
      </c>
      <c r="T170" s="44">
        <f t="shared" si="153"/>
        <v>-1.7900032045746472E-4</v>
      </c>
      <c r="U170" s="44">
        <f t="shared" si="153"/>
        <v>-1.906353412872569E-4</v>
      </c>
      <c r="V170" s="44">
        <f t="shared" si="153"/>
        <v>-2.0302663847093783E-4</v>
      </c>
      <c r="W170" s="44">
        <f t="shared" si="153"/>
        <v>-2.1622336997154101E-4</v>
      </c>
      <c r="X170" s="44">
        <f t="shared" si="153"/>
        <v>-2.3027788901971991E-4</v>
      </c>
      <c r="Y170" s="44">
        <f t="shared" si="153"/>
        <v>-2.4524595180600017E-4</v>
      </c>
      <c r="Z170" s="44">
        <f t="shared" si="153"/>
        <v>-2.6118693867341336E-4</v>
      </c>
      <c r="AA170" s="44">
        <f t="shared" si="153"/>
        <v>-2.7816408968722728E-4</v>
      </c>
      <c r="AB170" s="44">
        <f t="shared" si="153"/>
        <v>-2.9624475551692786E-4</v>
      </c>
      <c r="AC170" s="44">
        <f t="shared" si="153"/>
        <v>-3.1550066462548987E-4</v>
      </c>
      <c r="AD170" s="44">
        <f t="shared" si="153"/>
        <v>-3.3600820782619945E-4</v>
      </c>
      <c r="AE170" s="44">
        <f t="shared" si="153"/>
        <v>-3.5784874133487632E-4</v>
      </c>
      <c r="AF170" s="45">
        <f t="shared" si="153"/>
        <v>-3.8110890952167131E-4</v>
      </c>
      <c r="AH170" s="10"/>
      <c r="AI170" s="11" t="s">
        <v>365</v>
      </c>
      <c r="AJ170" s="11"/>
      <c r="AK170" s="11"/>
      <c r="AL170" s="337" t="s">
        <v>19</v>
      </c>
      <c r="AM170" s="44">
        <f t="shared" ref="AM170:BL170" si="154">AM21</f>
        <v>0</v>
      </c>
      <c r="AN170" s="44">
        <f t="shared" si="154"/>
        <v>1.0122192235390068E-4</v>
      </c>
      <c r="AO170" s="44">
        <f t="shared" si="154"/>
        <v>2.1082523426185843E-4</v>
      </c>
      <c r="AP170" s="44">
        <f t="shared" si="154"/>
        <v>3.2973665931638048E-4</v>
      </c>
      <c r="AQ170" s="44">
        <f t="shared" si="154"/>
        <v>4.5899725713554603E-4</v>
      </c>
      <c r="AR170" s="44">
        <f t="shared" si="154"/>
        <v>5.9977807990769475E-4</v>
      </c>
      <c r="AS170" s="44">
        <f t="shared" si="154"/>
        <v>7.5339822168796438E-4</v>
      </c>
      <c r="AT170" s="44">
        <f t="shared" si="154"/>
        <v>9.2134567392461474E-4</v>
      </c>
      <c r="AU170" s="44">
        <f t="shared" si="154"/>
        <v>1.1053014821985415E-3</v>
      </c>
      <c r="AV170" s="44">
        <f t="shared" si="154"/>
        <v>1.3071677990093937E-3</v>
      </c>
      <c r="AW170" s="44">
        <f t="shared" si="154"/>
        <v>1.5291005503282721E-3</v>
      </c>
      <c r="AX170" s="44">
        <f t="shared" si="154"/>
        <v>1.5538698618120825E-3</v>
      </c>
      <c r="AY170" s="44">
        <f t="shared" si="154"/>
        <v>1.5803862702466007E-3</v>
      </c>
      <c r="AZ170" s="44">
        <f t="shared" si="154"/>
        <v>1.6087391414052086E-3</v>
      </c>
      <c r="BA170" s="44">
        <f t="shared" si="154"/>
        <v>1.6390226441811442E-3</v>
      </c>
      <c r="BB170" s="44">
        <f t="shared" si="154"/>
        <v>1.6713360077774417E-3</v>
      </c>
      <c r="BC170" s="44">
        <f t="shared" si="154"/>
        <v>1.7057837926247703E-3</v>
      </c>
      <c r="BD170" s="44">
        <f t="shared" si="154"/>
        <v>1.742476175754195E-3</v>
      </c>
      <c r="BE170" s="44">
        <f t="shared" si="154"/>
        <v>1.7815292513907004E-3</v>
      </c>
      <c r="BF170" s="44">
        <f t="shared" si="154"/>
        <v>1.8230653475742949E-3</v>
      </c>
      <c r="BG170" s="44">
        <f t="shared" si="154"/>
        <v>1.8672133596588276E-3</v>
      </c>
      <c r="BH170" s="44">
        <f t="shared" si="154"/>
        <v>1.914109101584359E-3</v>
      </c>
      <c r="BI170" s="44">
        <f t="shared" si="154"/>
        <v>1.9638956758669924E-3</v>
      </c>
      <c r="BJ170" s="44">
        <f t="shared" si="154"/>
        <v>2.0167238633010979E-3</v>
      </c>
      <c r="BK170" s="44">
        <f t="shared" si="154"/>
        <v>2.0727525334223386E-3</v>
      </c>
      <c r="BL170" s="45">
        <f t="shared" si="154"/>
        <v>2.13214907683654E-3</v>
      </c>
    </row>
    <row r="171" spans="2:64" x14ac:dyDescent="0.25">
      <c r="B171" s="10"/>
      <c r="C171" s="5" t="s">
        <v>483</v>
      </c>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167"/>
      <c r="AH171" s="10"/>
      <c r="AI171" s="11" t="str">
        <f>AK19</f>
        <v>Use-Shift Rate Impact</v>
      </c>
      <c r="AJ171" s="11"/>
      <c r="AK171" s="11"/>
      <c r="AL171" s="337" t="s">
        <v>19</v>
      </c>
      <c r="AM171" s="44">
        <f t="shared" ref="AM171:BL171" si="155">AM19</f>
        <v>0</v>
      </c>
      <c r="AN171" s="44">
        <f t="shared" si="155"/>
        <v>-2.195559490633589E-4</v>
      </c>
      <c r="AO171" s="44">
        <f t="shared" si="155"/>
        <v>-2.4533681547458247E-4</v>
      </c>
      <c r="AP171" s="44">
        <f t="shared" si="155"/>
        <v>-2.7427986149518302E-4</v>
      </c>
      <c r="AQ171" s="44">
        <f t="shared" si="155"/>
        <v>-3.0679390555141128E-4</v>
      </c>
      <c r="AR171" s="44">
        <f t="shared" si="155"/>
        <v>-3.4334400491015105E-4</v>
      </c>
      <c r="AS171" s="44">
        <f t="shared" si="155"/>
        <v>-3.8445979592179741E-4</v>
      </c>
      <c r="AT171" s="44">
        <f t="shared" si="155"/>
        <v>-4.3074518986439825E-4</v>
      </c>
      <c r="AU171" s="44">
        <f t="shared" si="155"/>
        <v>-4.82889669964362E-4</v>
      </c>
      <c r="AV171" s="44">
        <f t="shared" si="155"/>
        <v>-5.4168148537712957E-4</v>
      </c>
      <c r="AW171" s="44">
        <f t="shared" si="155"/>
        <v>-6.0802309976600022E-4</v>
      </c>
      <c r="AX171" s="44">
        <f t="shared" si="155"/>
        <v>-1.5781729415012546E-4</v>
      </c>
      <c r="AY171" s="44">
        <f t="shared" si="155"/>
        <v>-1.6807541826989458E-4</v>
      </c>
      <c r="AZ171" s="44">
        <f t="shared" si="155"/>
        <v>-1.7900032045743697E-4</v>
      </c>
      <c r="BA171" s="44">
        <f t="shared" si="155"/>
        <v>-1.9063534128722914E-4</v>
      </c>
      <c r="BB171" s="44">
        <f t="shared" si="155"/>
        <v>-2.0302663847091007E-4</v>
      </c>
      <c r="BC171" s="44">
        <f t="shared" si="155"/>
        <v>-2.1622336997151326E-4</v>
      </c>
      <c r="BD171" s="44">
        <f t="shared" si="155"/>
        <v>-2.3027788901969215E-4</v>
      </c>
      <c r="BE171" s="44">
        <f t="shared" si="155"/>
        <v>-2.4524595180597242E-4</v>
      </c>
      <c r="BF171" s="44">
        <f t="shared" si="155"/>
        <v>-2.611869386733856E-4</v>
      </c>
      <c r="BG171" s="44">
        <f t="shared" si="155"/>
        <v>-2.7816408968719952E-4</v>
      </c>
      <c r="BH171" s="44">
        <f t="shared" si="155"/>
        <v>-2.962447555169001E-4</v>
      </c>
      <c r="BI171" s="44">
        <f t="shared" si="155"/>
        <v>-3.1550066462546211E-4</v>
      </c>
      <c r="BJ171" s="44">
        <f t="shared" si="155"/>
        <v>-3.3600820782617169E-4</v>
      </c>
      <c r="BK171" s="44">
        <f t="shared" si="155"/>
        <v>-3.5784874133484856E-4</v>
      </c>
      <c r="BL171" s="45">
        <f t="shared" si="155"/>
        <v>-3.8110890952164356E-4</v>
      </c>
    </row>
    <row r="172" spans="2:64" x14ac:dyDescent="0.25">
      <c r="B172" s="10"/>
      <c r="C172" s="5"/>
      <c r="D172" s="5" t="s">
        <v>477</v>
      </c>
      <c r="E172" s="5"/>
      <c r="F172" s="12" t="s">
        <v>7</v>
      </c>
      <c r="G172" s="499">
        <f t="shared" ref="G172:AF172" si="156">G168/(G166+G167)</f>
        <v>0</v>
      </c>
      <c r="H172" s="499">
        <f t="shared" si="156"/>
        <v>5.6015742467968362E-3</v>
      </c>
      <c r="I172" s="499">
        <f t="shared" si="156"/>
        <v>5.5590499820069627E-3</v>
      </c>
      <c r="J172" s="499">
        <f t="shared" si="156"/>
        <v>5.5103201112136103E-3</v>
      </c>
      <c r="K172" s="499">
        <f t="shared" si="156"/>
        <v>5.4555801158171742E-3</v>
      </c>
      <c r="L172" s="499">
        <f t="shared" si="156"/>
        <v>5.3950582920563317E-3</v>
      </c>
      <c r="M172" s="499">
        <f t="shared" si="156"/>
        <v>5.3290131482362146E-3</v>
      </c>
      <c r="N172" s="499">
        <f t="shared" si="156"/>
        <v>5.2577304302648918E-3</v>
      </c>
      <c r="O172" s="499">
        <f t="shared" si="156"/>
        <v>5.181519842345419E-3</v>
      </c>
      <c r="P172" s="499">
        <f t="shared" si="156"/>
        <v>5.1007115353179583E-3</v>
      </c>
      <c r="Q172" s="499">
        <f t="shared" si="156"/>
        <v>5.015652438204927E-3</v>
      </c>
      <c r="R172" s="499">
        <f t="shared" si="156"/>
        <v>0</v>
      </c>
      <c r="S172" s="499">
        <f t="shared" si="156"/>
        <v>0</v>
      </c>
      <c r="T172" s="499">
        <f t="shared" si="156"/>
        <v>0</v>
      </c>
      <c r="U172" s="499">
        <f t="shared" si="156"/>
        <v>0</v>
      </c>
      <c r="V172" s="499">
        <f t="shared" si="156"/>
        <v>0</v>
      </c>
      <c r="W172" s="499">
        <f t="shared" si="156"/>
        <v>0</v>
      </c>
      <c r="X172" s="499">
        <f t="shared" si="156"/>
        <v>0</v>
      </c>
      <c r="Y172" s="499">
        <f t="shared" si="156"/>
        <v>0</v>
      </c>
      <c r="Z172" s="499">
        <f t="shared" si="156"/>
        <v>0</v>
      </c>
      <c r="AA172" s="499">
        <f t="shared" si="156"/>
        <v>0</v>
      </c>
      <c r="AB172" s="499">
        <f t="shared" si="156"/>
        <v>0</v>
      </c>
      <c r="AC172" s="499">
        <f t="shared" si="156"/>
        <v>0</v>
      </c>
      <c r="AD172" s="499">
        <f t="shared" si="156"/>
        <v>0</v>
      </c>
      <c r="AE172" s="499">
        <f t="shared" si="156"/>
        <v>0</v>
      </c>
      <c r="AF172" s="500">
        <f t="shared" si="156"/>
        <v>0</v>
      </c>
      <c r="AH172" s="10"/>
      <c r="AI172" s="5" t="s">
        <v>483</v>
      </c>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167"/>
    </row>
    <row r="173" spans="2:64" x14ac:dyDescent="0.25">
      <c r="B173" s="10"/>
      <c r="C173" s="5"/>
      <c r="D173" s="5" t="s">
        <v>478</v>
      </c>
      <c r="E173" s="5"/>
      <c r="F173" s="12" t="s">
        <v>19</v>
      </c>
      <c r="G173" s="107">
        <f t="shared" ref="G173:AF173" si="157">G169/(G166+G167)</f>
        <v>0</v>
      </c>
      <c r="H173" s="107">
        <f t="shared" si="157"/>
        <v>1.4822091820027577E-3</v>
      </c>
      <c r="I173" s="107">
        <f t="shared" si="157"/>
        <v>2.9074131185669863E-3</v>
      </c>
      <c r="J173" s="107">
        <f t="shared" si="157"/>
        <v>4.2752763576040815E-3</v>
      </c>
      <c r="K173" s="107">
        <f t="shared" si="157"/>
        <v>5.5857037821292277E-3</v>
      </c>
      <c r="L173" s="107">
        <f t="shared" si="157"/>
        <v>6.8388388053233981E-3</v>
      </c>
      <c r="M173" s="107">
        <f t="shared" si="157"/>
        <v>8.0350583354048648E-3</v>
      </c>
      <c r="N173" s="107">
        <f t="shared" si="157"/>
        <v>9.1749646696776405E-3</v>
      </c>
      <c r="O173" s="107">
        <f t="shared" si="157"/>
        <v>1.0259374551978137E-2</v>
      </c>
      <c r="P173" s="107">
        <f t="shared" si="157"/>
        <v>1.1289305692505233E-2</v>
      </c>
      <c r="Q173" s="107">
        <f t="shared" si="157"/>
        <v>1.2265961101444749E-2</v>
      </c>
      <c r="R173" s="107">
        <f t="shared" si="157"/>
        <v>1.1995016403645352E-2</v>
      </c>
      <c r="S173" s="107">
        <f t="shared" si="157"/>
        <v>1.1727709734070495E-2</v>
      </c>
      <c r="T173" s="107">
        <f t="shared" si="157"/>
        <v>1.1464445310734111E-2</v>
      </c>
      <c r="U173" s="107">
        <f t="shared" si="157"/>
        <v>1.1205590238361868E-2</v>
      </c>
      <c r="V173" s="107">
        <f t="shared" si="157"/>
        <v>1.0951473359721181E-2</v>
      </c>
      <c r="W173" s="107">
        <f t="shared" si="157"/>
        <v>1.070238466551174E-2</v>
      </c>
      <c r="X173" s="107">
        <f t="shared" si="157"/>
        <v>1.0458575230779581E-2</v>
      </c>
      <c r="Y173" s="107">
        <f t="shared" si="157"/>
        <v>1.0220257636493034E-2</v>
      </c>
      <c r="Z173" s="107">
        <f t="shared" si="157"/>
        <v>9.9876068277567828E-3</v>
      </c>
      <c r="AA173" s="107">
        <f t="shared" si="157"/>
        <v>9.7607613551450503E-3</v>
      </c>
      <c r="AB173" s="107">
        <f t="shared" si="157"/>
        <v>9.5398249427241701E-3</v>
      </c>
      <c r="AC173" s="107">
        <f t="shared" si="157"/>
        <v>9.3248683253417571E-3</v>
      </c>
      <c r="AD173" s="107">
        <f t="shared" si="157"/>
        <v>9.1159312984665612E-3</v>
      </c>
      <c r="AE173" s="107">
        <f t="shared" si="157"/>
        <v>8.9130249260089434E-3</v>
      </c>
      <c r="AF173" s="114">
        <f t="shared" si="157"/>
        <v>8.7161338548614326E-3</v>
      </c>
      <c r="AH173" s="10"/>
      <c r="AI173" s="5"/>
      <c r="AJ173" s="5" t="s">
        <v>477</v>
      </c>
      <c r="AK173" s="5"/>
      <c r="AL173" s="338" t="s">
        <v>7</v>
      </c>
      <c r="AM173" s="107">
        <f>AM169/(AM166+AM167)</f>
        <v>0</v>
      </c>
      <c r="AN173" s="107">
        <f t="shared" ref="AN173:BL173" si="158">AN169/(AN166+AN167)</f>
        <v>3.7686534906282354E-3</v>
      </c>
      <c r="AO173" s="107">
        <f t="shared" si="158"/>
        <v>3.6858548883446944E-3</v>
      </c>
      <c r="AP173" s="107">
        <f t="shared" si="158"/>
        <v>3.6025979079741957E-3</v>
      </c>
      <c r="AQ173" s="107">
        <f t="shared" si="158"/>
        <v>3.5191682542189988E-3</v>
      </c>
      <c r="AR173" s="107">
        <f t="shared" si="158"/>
        <v>3.4358392312334898E-3</v>
      </c>
      <c r="AS173" s="107">
        <f t="shared" si="158"/>
        <v>3.3528706985416139E-3</v>
      </c>
      <c r="AT173" s="107">
        <f t="shared" si="158"/>
        <v>3.2705083243786729E-3</v>
      </c>
      <c r="AU173" s="107">
        <f t="shared" si="158"/>
        <v>3.1889831266109711E-3</v>
      </c>
      <c r="AV173" s="107">
        <f t="shared" si="158"/>
        <v>3.1085112878410583E-3</v>
      </c>
      <c r="AW173" s="107">
        <f t="shared" si="158"/>
        <v>3.0292942289369337E-3</v>
      </c>
      <c r="AX173" s="107">
        <f t="shared" si="158"/>
        <v>0</v>
      </c>
      <c r="AY173" s="107">
        <f t="shared" si="158"/>
        <v>0</v>
      </c>
      <c r="AZ173" s="107">
        <f t="shared" si="158"/>
        <v>0</v>
      </c>
      <c r="BA173" s="107">
        <f t="shared" si="158"/>
        <v>0</v>
      </c>
      <c r="BB173" s="107">
        <f t="shared" si="158"/>
        <v>0</v>
      </c>
      <c r="BC173" s="107">
        <f t="shared" si="158"/>
        <v>0</v>
      </c>
      <c r="BD173" s="107">
        <f t="shared" si="158"/>
        <v>0</v>
      </c>
      <c r="BE173" s="107">
        <f t="shared" si="158"/>
        <v>0</v>
      </c>
      <c r="BF173" s="107">
        <f t="shared" si="158"/>
        <v>0</v>
      </c>
      <c r="BG173" s="107">
        <f t="shared" si="158"/>
        <v>0</v>
      </c>
      <c r="BH173" s="107">
        <f t="shared" si="158"/>
        <v>0</v>
      </c>
      <c r="BI173" s="107">
        <f t="shared" si="158"/>
        <v>0</v>
      </c>
      <c r="BJ173" s="107">
        <f t="shared" si="158"/>
        <v>0</v>
      </c>
      <c r="BK173" s="107">
        <f t="shared" si="158"/>
        <v>0</v>
      </c>
      <c r="BL173" s="114">
        <f t="shared" si="158"/>
        <v>0</v>
      </c>
    </row>
    <row r="174" spans="2:64" x14ac:dyDescent="0.25">
      <c r="B174" s="10"/>
      <c r="C174" s="5"/>
      <c r="D174" s="5" t="s">
        <v>479</v>
      </c>
      <c r="E174" s="5"/>
      <c r="F174" s="12" t="s">
        <v>19</v>
      </c>
      <c r="G174" s="107">
        <f t="shared" ref="G174:AF174" si="159">G170/(G166+G167)</f>
        <v>0</v>
      </c>
      <c r="H174" s="107">
        <f t="shared" si="159"/>
        <v>-1.7638119528082385E-3</v>
      </c>
      <c r="I174" s="107">
        <f t="shared" si="159"/>
        <v>-1.9207827997566791E-3</v>
      </c>
      <c r="J174" s="107">
        <f t="shared" si="159"/>
        <v>-2.0902766621650379E-3</v>
      </c>
      <c r="K174" s="107">
        <f t="shared" si="159"/>
        <v>-2.2732062217842679E-3</v>
      </c>
      <c r="L174" s="107">
        <f t="shared" si="159"/>
        <v>-2.4705577494827415E-3</v>
      </c>
      <c r="M174" s="107">
        <f t="shared" si="159"/>
        <v>-2.683400096420022E-3</v>
      </c>
      <c r="N174" s="107">
        <f t="shared" si="159"/>
        <v>-2.912895096944933E-3</v>
      </c>
      <c r="O174" s="107">
        <f t="shared" si="159"/>
        <v>-3.1603096062030331E-3</v>
      </c>
      <c r="P174" s="107">
        <f t="shared" si="159"/>
        <v>-3.4270294372275114E-3</v>
      </c>
      <c r="Q174" s="107">
        <f t="shared" si="159"/>
        <v>-3.7145755144706162E-3</v>
      </c>
      <c r="R174" s="107">
        <f t="shared" si="159"/>
        <v>-9.3001783024145577E-4</v>
      </c>
      <c r="S174" s="107">
        <f t="shared" si="159"/>
        <v>-9.5440052546379715E-4</v>
      </c>
      <c r="T174" s="107">
        <f t="shared" si="159"/>
        <v>-9.7841450239632413E-4</v>
      </c>
      <c r="U174" s="107">
        <f t="shared" si="159"/>
        <v>-1.0020262751460145E-3</v>
      </c>
      <c r="V174" s="107">
        <f t="shared" si="159"/>
        <v>-1.0252058479288644E-3</v>
      </c>
      <c r="W174" s="107">
        <f t="shared" si="159"/>
        <v>-1.0479267688990723E-3</v>
      </c>
      <c r="X174" s="107">
        <f t="shared" si="159"/>
        <v>-1.070166135948486E-3</v>
      </c>
      <c r="Y174" s="107">
        <f t="shared" si="159"/>
        <v>-1.0919045582513862E-3</v>
      </c>
      <c r="Z174" s="107">
        <f t="shared" si="159"/>
        <v>-1.1131260779825914E-3</v>
      </c>
      <c r="AA174" s="107">
        <f t="shared" si="159"/>
        <v>-1.1338180570869473E-3</v>
      </c>
      <c r="AB174" s="107">
        <f t="shared" si="159"/>
        <v>-1.153971034250477E-3</v>
      </c>
      <c r="AC174" s="107">
        <f t="shared" si="159"/>
        <v>-1.173578557309861E-3</v>
      </c>
      <c r="AD174" s="107">
        <f t="shared" si="159"/>
        <v>-1.1926369962747599E-3</v>
      </c>
      <c r="AE174" s="107">
        <f t="shared" si="159"/>
        <v>-1.2111453419368628E-3</v>
      </c>
      <c r="AF174" s="114">
        <f t="shared" si="159"/>
        <v>-1.2291049947485398E-3</v>
      </c>
      <c r="AH174" s="10"/>
      <c r="AI174" s="5"/>
      <c r="AJ174" s="5" t="s">
        <v>478</v>
      </c>
      <c r="AK174" s="5"/>
      <c r="AL174" s="338" t="s">
        <v>19</v>
      </c>
      <c r="AM174" s="107">
        <f>AM170/(AM166+AM167)</f>
        <v>0</v>
      </c>
      <c r="AN174" s="107">
        <f t="shared" ref="AN174:BL174" si="160">AN170/(AN166+AN167)</f>
        <v>1.5580145565681288E-3</v>
      </c>
      <c r="AO174" s="107">
        <f t="shared" si="160"/>
        <v>3.1058593609227659E-3</v>
      </c>
      <c r="AP174" s="107">
        <f t="shared" si="160"/>
        <v>4.6451073678963383E-3</v>
      </c>
      <c r="AQ174" s="107">
        <f t="shared" si="160"/>
        <v>6.177723220471049E-3</v>
      </c>
      <c r="AR174" s="107">
        <f t="shared" si="160"/>
        <v>7.7060688541823706E-3</v>
      </c>
      <c r="AS174" s="107">
        <f t="shared" si="160"/>
        <v>9.2329103579816135E-3</v>
      </c>
      <c r="AT174" s="107">
        <f t="shared" si="160"/>
        <v>1.076142692141694E-2</v>
      </c>
      <c r="AU174" s="107">
        <f t="shared" si="160"/>
        <v>1.2295222763224489E-2</v>
      </c>
      <c r="AV174" s="107">
        <f t="shared" si="160"/>
        <v>1.3838343013489735E-2</v>
      </c>
      <c r="AW174" s="107">
        <f t="shared" si="160"/>
        <v>1.5395294617427722E-2</v>
      </c>
      <c r="AX174" s="107">
        <f t="shared" si="160"/>
        <v>1.486897773335784E-2</v>
      </c>
      <c r="AY174" s="107">
        <f t="shared" si="160"/>
        <v>1.4363903081146392E-2</v>
      </c>
      <c r="AZ174" s="107">
        <f t="shared" si="160"/>
        <v>1.3879649511881016E-2</v>
      </c>
      <c r="BA174" s="107">
        <f t="shared" si="160"/>
        <v>1.3415742862368737E-2</v>
      </c>
      <c r="BB174" s="107">
        <f t="shared" si="160"/>
        <v>1.2971664153711277E-2</v>
      </c>
      <c r="BC174" s="107">
        <f t="shared" si="160"/>
        <v>1.2546857344647083E-2</v>
      </c>
      <c r="BD174" s="107">
        <f t="shared" si="160"/>
        <v>1.2140736588298671E-2</v>
      </c>
      <c r="BE174" s="107">
        <f t="shared" si="160"/>
        <v>1.1752692957415725E-2</v>
      </c>
      <c r="BF174" s="107">
        <f t="shared" si="160"/>
        <v>1.1382100617789079E-2</v>
      </c>
      <c r="BG174" s="107">
        <f t="shared" si="160"/>
        <v>1.1028322442154386E-2</v>
      </c>
      <c r="BH174" s="107">
        <f t="shared" si="160"/>
        <v>1.0690715067613783E-2</v>
      </c>
      <c r="BI174" s="107">
        <f t="shared" si="160"/>
        <v>1.0368633408445621E-2</v>
      </c>
      <c r="BJ174" s="107">
        <f t="shared" si="160"/>
        <v>1.0061434643264535E-2</v>
      </c>
      <c r="BK174" s="107">
        <f t="shared" si="160"/>
        <v>9.7684817009784323E-3</v>
      </c>
      <c r="BL174" s="114">
        <f t="shared" si="160"/>
        <v>9.4891462740350485E-3</v>
      </c>
    </row>
    <row r="175" spans="2:64" x14ac:dyDescent="0.25">
      <c r="B175" s="10"/>
      <c r="C175" s="5"/>
      <c r="D175" s="5" t="s">
        <v>400</v>
      </c>
      <c r="E175" s="5"/>
      <c r="F175" s="12" t="s">
        <v>19</v>
      </c>
      <c r="G175" s="107">
        <f t="shared" ref="G175:AF175" si="161">G23/(G166+G167)</f>
        <v>0</v>
      </c>
      <c r="H175" s="107">
        <f t="shared" si="161"/>
        <v>2.3058407604813926E-4</v>
      </c>
      <c r="I175" s="107">
        <f t="shared" ca="1" si="161"/>
        <v>2.0800954575337638E-4</v>
      </c>
      <c r="J175" s="107">
        <f t="shared" ca="1" si="161"/>
        <v>1.8616884602331375E-4</v>
      </c>
      <c r="K175" s="107">
        <f t="shared" ca="1" si="161"/>
        <v>1.6509995941652164E-4</v>
      </c>
      <c r="L175" s="107">
        <f t="shared" ca="1" si="161"/>
        <v>1.4483629824235507E-4</v>
      </c>
      <c r="M175" s="107">
        <f t="shared" ca="1" si="161"/>
        <v>1.2540646262329175E-4</v>
      </c>
      <c r="N175" s="107">
        <f t="shared" ca="1" si="161"/>
        <v>1.0683406998934605E-4</v>
      </c>
      <c r="O175" s="107">
        <f t="shared" ca="1" si="161"/>
        <v>8.9137657484333806E-5</v>
      </c>
      <c r="P175" s="107">
        <f t="shared" ca="1" si="161"/>
        <v>7.2330656852638938E-5</v>
      </c>
      <c r="Q175" s="107">
        <f t="shared" ca="1" si="161"/>
        <v>5.6421439554489107E-5</v>
      </c>
      <c r="R175" s="107">
        <f t="shared" si="161"/>
        <v>0</v>
      </c>
      <c r="S175" s="107">
        <f t="shared" si="161"/>
        <v>0</v>
      </c>
      <c r="T175" s="107">
        <f t="shared" si="161"/>
        <v>0</v>
      </c>
      <c r="U175" s="107">
        <f t="shared" si="161"/>
        <v>0</v>
      </c>
      <c r="V175" s="107">
        <f t="shared" si="161"/>
        <v>0</v>
      </c>
      <c r="W175" s="107">
        <f t="shared" si="161"/>
        <v>0</v>
      </c>
      <c r="X175" s="107">
        <f t="shared" si="161"/>
        <v>0</v>
      </c>
      <c r="Y175" s="107">
        <f t="shared" si="161"/>
        <v>0</v>
      </c>
      <c r="Z175" s="107">
        <f t="shared" si="161"/>
        <v>0</v>
      </c>
      <c r="AA175" s="107">
        <f t="shared" si="161"/>
        <v>0</v>
      </c>
      <c r="AB175" s="107">
        <f t="shared" si="161"/>
        <v>0</v>
      </c>
      <c r="AC175" s="107">
        <f t="shared" si="161"/>
        <v>0</v>
      </c>
      <c r="AD175" s="107">
        <f t="shared" si="161"/>
        <v>0</v>
      </c>
      <c r="AE175" s="107">
        <f t="shared" si="161"/>
        <v>0</v>
      </c>
      <c r="AF175" s="107">
        <f t="shared" si="161"/>
        <v>0</v>
      </c>
      <c r="AH175" s="10"/>
      <c r="AI175" s="5"/>
      <c r="AJ175" s="5" t="s">
        <v>479</v>
      </c>
      <c r="AK175" s="5"/>
      <c r="AL175" s="338" t="s">
        <v>19</v>
      </c>
      <c r="AM175" s="499">
        <f t="shared" ref="AM175:BL175" si="162">AM171/(AM166+AM167)</f>
        <v>0</v>
      </c>
      <c r="AN175" s="499">
        <f t="shared" si="162"/>
        <v>-3.379419760729942E-3</v>
      </c>
      <c r="AO175" s="499">
        <f t="shared" si="162"/>
        <v>-3.6142810303926107E-3</v>
      </c>
      <c r="AP175" s="499">
        <f t="shared" si="162"/>
        <v>-3.8638694530910771E-3</v>
      </c>
      <c r="AQ175" s="499">
        <f t="shared" si="162"/>
        <v>-4.1291920697997982E-3</v>
      </c>
      <c r="AR175" s="499">
        <f t="shared" si="162"/>
        <v>-4.4113525171102369E-3</v>
      </c>
      <c r="AS175" s="499">
        <f t="shared" si="162"/>
        <v>-4.7115625306904906E-3</v>
      </c>
      <c r="AT175" s="499">
        <f t="shared" si="162"/>
        <v>-5.0311549873916939E-3</v>
      </c>
      <c r="AU175" s="499">
        <f t="shared" si="162"/>
        <v>-5.37159875191889E-3</v>
      </c>
      <c r="AV175" s="499">
        <f t="shared" si="162"/>
        <v>-5.7345156485540645E-3</v>
      </c>
      <c r="AW175" s="499">
        <f t="shared" si="162"/>
        <v>-6.1216999451668749E-3</v>
      </c>
      <c r="AX175" s="499">
        <f t="shared" si="162"/>
        <v>-1.510153385638407E-3</v>
      </c>
      <c r="AY175" s="499">
        <f t="shared" si="162"/>
        <v>-1.5276132574697685E-3</v>
      </c>
      <c r="AZ175" s="499">
        <f t="shared" si="162"/>
        <v>-1.5443533675033678E-3</v>
      </c>
      <c r="BA175" s="499">
        <f t="shared" si="162"/>
        <v>-1.560390107036689E-3</v>
      </c>
      <c r="BB175" s="499">
        <f t="shared" si="162"/>
        <v>-1.5757414165950868E-3</v>
      </c>
      <c r="BC175" s="499">
        <f t="shared" si="162"/>
        <v>-1.5904265179099402E-3</v>
      </c>
      <c r="BD175" s="499">
        <f t="shared" si="162"/>
        <v>-1.6044656630599136E-3</v>
      </c>
      <c r="BE175" s="499">
        <f t="shared" si="162"/>
        <v>-1.6178799019857699E-3</v>
      </c>
      <c r="BF175" s="499">
        <f t="shared" si="162"/>
        <v>-1.6306908690839612E-3</v>
      </c>
      <c r="BG175" s="499">
        <f t="shared" si="162"/>
        <v>-1.642920589138944E-3</v>
      </c>
      <c r="BH175" s="499">
        <f t="shared" si="162"/>
        <v>-1.6545913024940003E-3</v>
      </c>
      <c r="BI175" s="499">
        <f t="shared" si="162"/>
        <v>-1.6657253090484011E-3</v>
      </c>
      <c r="BJ175" s="499">
        <f t="shared" si="162"/>
        <v>-1.6763448304269555E-3</v>
      </c>
      <c r="BK175" s="499">
        <f t="shared" si="162"/>
        <v>-1.6864718894715109E-3</v>
      </c>
      <c r="BL175" s="500">
        <f t="shared" si="162"/>
        <v>-1.6961282060795196E-3</v>
      </c>
    </row>
    <row r="176" spans="2:64" x14ac:dyDescent="0.25">
      <c r="B176" s="501" t="s">
        <v>315</v>
      </c>
      <c r="C176" s="395"/>
      <c r="D176" s="395"/>
      <c r="E176" s="395"/>
      <c r="F176" s="502" t="s">
        <v>8</v>
      </c>
      <c r="G176" s="503">
        <f t="shared" ref="G176:Q176" si="163">G125</f>
        <v>0</v>
      </c>
      <c r="H176" s="503">
        <f t="shared" si="163"/>
        <v>4.8268732640484036E-2</v>
      </c>
      <c r="I176" s="503">
        <f t="shared" si="163"/>
        <v>4.9286994683603785E-2</v>
      </c>
      <c r="J176" s="503">
        <f t="shared" si="163"/>
        <v>5.0327031804719084E-2</v>
      </c>
      <c r="K176" s="503">
        <f t="shared" si="163"/>
        <v>5.1389315899305177E-2</v>
      </c>
      <c r="L176" s="503">
        <f t="shared" si="163"/>
        <v>5.247432922025818E-2</v>
      </c>
      <c r="M176" s="503">
        <f t="shared" si="163"/>
        <v>5.3582564607928949E-2</v>
      </c>
      <c r="N176" s="503">
        <f t="shared" si="163"/>
        <v>5.4714525725321067E-2</v>
      </c>
      <c r="O176" s="503">
        <f t="shared" si="163"/>
        <v>5.58707272985699E-2</v>
      </c>
      <c r="P176" s="503">
        <f t="shared" si="163"/>
        <v>5.7051695362822695E-2</v>
      </c>
      <c r="Q176" s="503">
        <f t="shared" si="163"/>
        <v>5.8257967513641908E-2</v>
      </c>
      <c r="R176" s="398"/>
      <c r="S176" s="398"/>
      <c r="T176" s="398"/>
      <c r="U176" s="398"/>
      <c r="V176" s="398"/>
      <c r="W176" s="398"/>
      <c r="X176" s="398"/>
      <c r="Y176" s="398"/>
      <c r="Z176" s="398"/>
      <c r="AA176" s="398"/>
      <c r="AB176" s="398"/>
      <c r="AC176" s="398"/>
      <c r="AD176" s="398"/>
      <c r="AE176" s="398"/>
      <c r="AF176" s="399"/>
      <c r="AH176" s="10"/>
      <c r="AI176" s="5"/>
      <c r="AJ176" s="5" t="s">
        <v>400</v>
      </c>
      <c r="AK176" s="155"/>
      <c r="AL176" s="338" t="s">
        <v>19</v>
      </c>
      <c r="AM176" s="655">
        <f t="shared" ref="AM176:BL176" si="164">AM23/(AM166+AM167)</f>
        <v>0</v>
      </c>
      <c r="AN176" s="655">
        <f t="shared" si="164"/>
        <v>3.2486699502747617E-3</v>
      </c>
      <c r="AO176" s="655">
        <f t="shared" si="164"/>
        <v>3.1930600905314718E-3</v>
      </c>
      <c r="AP176" s="655">
        <f t="shared" si="164"/>
        <v>3.1376891498765451E-3</v>
      </c>
      <c r="AQ176" s="655">
        <f t="shared" si="164"/>
        <v>3.0827224068240766E-3</v>
      </c>
      <c r="AR176" s="655">
        <f t="shared" si="164"/>
        <v>3.0283185077367922E-3</v>
      </c>
      <c r="AS176" s="655">
        <f t="shared" si="164"/>
        <v>2.9746292074748553E-3</v>
      </c>
      <c r="AT176" s="655">
        <f t="shared" si="164"/>
        <v>2.9217992887262401E-3</v>
      </c>
      <c r="AU176" s="655">
        <f t="shared" si="164"/>
        <v>2.8699666556972745E-3</v>
      </c>
      <c r="AV176" s="655">
        <f t="shared" si="164"/>
        <v>2.8192625970187082E-3</v>
      </c>
      <c r="AW176" s="655">
        <f t="shared" si="164"/>
        <v>2.7698122126988954E-3</v>
      </c>
      <c r="AX176" s="655">
        <f t="shared" si="164"/>
        <v>0</v>
      </c>
      <c r="AY176" s="655">
        <f t="shared" si="164"/>
        <v>0</v>
      </c>
      <c r="AZ176" s="655">
        <f t="shared" si="164"/>
        <v>0</v>
      </c>
      <c r="BA176" s="655">
        <f t="shared" si="164"/>
        <v>0</v>
      </c>
      <c r="BB176" s="655">
        <f t="shared" si="164"/>
        <v>0</v>
      </c>
      <c r="BC176" s="655">
        <f t="shared" si="164"/>
        <v>0</v>
      </c>
      <c r="BD176" s="655">
        <f t="shared" si="164"/>
        <v>0</v>
      </c>
      <c r="BE176" s="655">
        <f t="shared" si="164"/>
        <v>0</v>
      </c>
      <c r="BF176" s="655">
        <f t="shared" si="164"/>
        <v>0</v>
      </c>
      <c r="BG176" s="655">
        <f t="shared" si="164"/>
        <v>0</v>
      </c>
      <c r="BH176" s="655">
        <f t="shared" si="164"/>
        <v>0</v>
      </c>
      <c r="BI176" s="655">
        <f t="shared" si="164"/>
        <v>0</v>
      </c>
      <c r="BJ176" s="655">
        <f t="shared" si="164"/>
        <v>0</v>
      </c>
      <c r="BK176" s="655">
        <f t="shared" si="164"/>
        <v>0</v>
      </c>
      <c r="BL176" s="655">
        <f t="shared" si="164"/>
        <v>0</v>
      </c>
    </row>
    <row r="177" spans="2:64" x14ac:dyDescent="0.25">
      <c r="B177" s="58"/>
      <c r="AH177" s="501" t="s">
        <v>315</v>
      </c>
      <c r="AI177" s="395"/>
      <c r="AJ177" s="395"/>
      <c r="AK177" s="395"/>
      <c r="AL177" s="502" t="s">
        <v>8</v>
      </c>
      <c r="AM177" s="503">
        <f t="shared" ref="AM177:AW177" si="165">AM125</f>
        <v>0</v>
      </c>
      <c r="AN177" s="503">
        <f t="shared" si="165"/>
        <v>7.180272258812701E-3</v>
      </c>
      <c r="AO177" s="503">
        <f t="shared" si="165"/>
        <v>6.9245549712448626E-3</v>
      </c>
      <c r="AP177" s="503">
        <f t="shared" si="165"/>
        <v>6.6779447660833781E-3</v>
      </c>
      <c r="AQ177" s="503">
        <f t="shared" si="165"/>
        <v>6.4401173048732833E-3</v>
      </c>
      <c r="AR177" s="503">
        <f t="shared" si="165"/>
        <v>6.2107598001074132E-3</v>
      </c>
      <c r="AS177" s="503">
        <f t="shared" si="165"/>
        <v>5.9895706038524182E-3</v>
      </c>
      <c r="AT177" s="503">
        <f t="shared" si="165"/>
        <v>5.7762588110254302E-3</v>
      </c>
      <c r="AU177" s="503">
        <f t="shared" si="165"/>
        <v>5.5705438767995955E-3</v>
      </c>
      <c r="AV177" s="503">
        <f t="shared" si="165"/>
        <v>5.3721552476352231E-3</v>
      </c>
      <c r="AW177" s="503">
        <f t="shared" si="165"/>
        <v>5.1808320054514013E-3</v>
      </c>
      <c r="AX177" s="398"/>
      <c r="AY177" s="398"/>
      <c r="AZ177" s="398"/>
      <c r="BA177" s="398"/>
      <c r="BB177" s="398"/>
      <c r="BC177" s="398"/>
      <c r="BD177" s="398"/>
      <c r="BE177" s="398"/>
      <c r="BF177" s="398"/>
      <c r="BG177" s="398"/>
      <c r="BH177" s="398"/>
      <c r="BI177" s="398"/>
      <c r="BJ177" s="398"/>
      <c r="BK177" s="398"/>
      <c r="BL177" s="399"/>
    </row>
    <row r="178" spans="2:64" x14ac:dyDescent="0.25">
      <c r="B178" s="58"/>
    </row>
    <row r="179" spans="2:64" x14ac:dyDescent="0.25">
      <c r="B179" s="731" t="s">
        <v>40</v>
      </c>
      <c r="C179" s="731"/>
      <c r="D179" s="731"/>
      <c r="E179" s="731"/>
      <c r="G179" s="84"/>
      <c r="AH179" s="731" t="s">
        <v>40</v>
      </c>
      <c r="AI179" s="731"/>
      <c r="AJ179" s="731"/>
      <c r="AK179" s="731"/>
      <c r="AM179" s="84">
        <f>(AM190/12)*AM$16+AM192*AM29+AM110</f>
        <v>1624.7301396314074</v>
      </c>
      <c r="AN179" s="80"/>
      <c r="AO179" s="80"/>
      <c r="AP179" s="80"/>
      <c r="AQ179" s="80"/>
      <c r="AR179" s="80"/>
      <c r="AS179" s="80"/>
      <c r="AT179" s="80"/>
      <c r="AU179" s="80"/>
      <c r="AV179" s="80"/>
      <c r="AW179" s="80"/>
      <c r="AX179" s="80"/>
      <c r="AY179" s="80"/>
      <c r="AZ179" s="80"/>
      <c r="BA179" s="80"/>
      <c r="BB179" s="80"/>
      <c r="BC179" s="80"/>
      <c r="BD179" s="80"/>
      <c r="BE179" s="80"/>
      <c r="BF179" s="80"/>
      <c r="BG179" s="79"/>
      <c r="BH179" s="79"/>
      <c r="BI179" s="79"/>
      <c r="BJ179" s="79"/>
      <c r="BK179" s="79"/>
      <c r="BL179" s="79"/>
    </row>
    <row r="180" spans="2:64" x14ac:dyDescent="0.25">
      <c r="B180" s="49"/>
      <c r="G180" s="84"/>
      <c r="AH180" s="49"/>
      <c r="AM180" s="84"/>
      <c r="AN180" s="80"/>
      <c r="AO180" s="80"/>
      <c r="AP180" s="80"/>
      <c r="AQ180" s="80"/>
      <c r="AR180" s="80"/>
      <c r="AS180" s="80"/>
      <c r="AT180" s="80"/>
      <c r="AU180" s="80"/>
      <c r="AV180" s="80"/>
      <c r="AW180" s="80"/>
      <c r="AX180" s="80"/>
      <c r="AY180" s="80"/>
      <c r="AZ180" s="80"/>
      <c r="BA180" s="80"/>
      <c r="BB180" s="80"/>
      <c r="BC180" s="80"/>
      <c r="BD180" s="80"/>
      <c r="BE180" s="80"/>
      <c r="BF180" s="80"/>
      <c r="BG180" s="79"/>
      <c r="BH180" s="79"/>
      <c r="BI180" s="79"/>
      <c r="BJ180" s="79"/>
      <c r="BK180" s="79"/>
      <c r="BL180" s="79"/>
    </row>
    <row r="181" spans="2:64" x14ac:dyDescent="0.25">
      <c r="B181" s="732" t="s">
        <v>89</v>
      </c>
      <c r="C181" s="733"/>
      <c r="D181" s="733"/>
      <c r="E181" s="733"/>
      <c r="F181" s="733"/>
      <c r="G181" s="733"/>
      <c r="H181" s="733"/>
      <c r="I181" s="733"/>
      <c r="J181" s="733"/>
      <c r="K181" s="733"/>
      <c r="L181" s="733"/>
      <c r="M181" s="215"/>
      <c r="N181" s="215"/>
      <c r="O181" s="215"/>
      <c r="P181" s="215"/>
      <c r="Q181" s="216"/>
      <c r="R181" s="80"/>
      <c r="S181" s="80"/>
      <c r="T181" s="80"/>
      <c r="U181" s="80"/>
      <c r="V181" s="80"/>
      <c r="W181" s="80"/>
      <c r="X181" s="80"/>
      <c r="Y181" s="80"/>
      <c r="Z181" s="80"/>
      <c r="AA181" s="79"/>
      <c r="AB181" s="79"/>
      <c r="AC181" s="79"/>
      <c r="AD181" s="79"/>
      <c r="AE181" s="79"/>
      <c r="AF181" s="79"/>
      <c r="AH181" s="732" t="s">
        <v>89</v>
      </c>
      <c r="AI181" s="733"/>
      <c r="AJ181" s="733"/>
      <c r="AK181" s="733"/>
      <c r="AL181" s="733"/>
      <c r="AM181" s="733"/>
      <c r="AN181" s="733"/>
      <c r="AO181" s="733"/>
      <c r="AP181" s="733"/>
      <c r="AQ181" s="733"/>
      <c r="AR181" s="733"/>
      <c r="AS181" s="215"/>
      <c r="AT181" s="215"/>
      <c r="AU181" s="215"/>
      <c r="AV181" s="215"/>
      <c r="AW181" s="216"/>
      <c r="AX181" s="80"/>
      <c r="AY181" s="80"/>
      <c r="AZ181" s="80"/>
      <c r="BA181" s="80"/>
      <c r="BB181" s="80"/>
      <c r="BC181" s="80"/>
      <c r="BD181" s="80"/>
      <c r="BE181" s="80"/>
      <c r="BF181" s="80"/>
      <c r="BG181" s="79"/>
      <c r="BH181" s="79"/>
      <c r="BI181" s="79"/>
      <c r="BJ181" s="79"/>
      <c r="BK181" s="79"/>
      <c r="BL181" s="79"/>
    </row>
    <row r="182" spans="2:64" x14ac:dyDescent="0.25">
      <c r="B182" s="727" t="s">
        <v>3</v>
      </c>
      <c r="C182" s="728"/>
      <c r="D182" s="728"/>
      <c r="E182" s="728"/>
      <c r="F182" s="728" t="s">
        <v>4</v>
      </c>
      <c r="G182" s="72" t="s">
        <v>24</v>
      </c>
      <c r="H182" s="72" t="s">
        <v>0</v>
      </c>
      <c r="I182" s="72" t="s">
        <v>1</v>
      </c>
      <c r="J182" s="72" t="s">
        <v>9</v>
      </c>
      <c r="K182" s="72" t="s">
        <v>10</v>
      </c>
      <c r="L182" s="72" t="s">
        <v>11</v>
      </c>
      <c r="M182" s="72" t="s">
        <v>12</v>
      </c>
      <c r="N182" s="72" t="s">
        <v>13</v>
      </c>
      <c r="O182" s="72" t="s">
        <v>14</v>
      </c>
      <c r="P182" s="72" t="s">
        <v>15</v>
      </c>
      <c r="Q182" s="72" t="s">
        <v>16</v>
      </c>
      <c r="R182" s="72" t="s">
        <v>39</v>
      </c>
      <c r="S182" s="72" t="s">
        <v>41</v>
      </c>
      <c r="T182" s="72" t="s">
        <v>42</v>
      </c>
      <c r="U182" s="72" t="s">
        <v>43</v>
      </c>
      <c r="V182" s="72" t="s">
        <v>44</v>
      </c>
      <c r="W182" s="72" t="s">
        <v>45</v>
      </c>
      <c r="X182" s="72" t="s">
        <v>46</v>
      </c>
      <c r="Y182" s="72" t="s">
        <v>47</v>
      </c>
      <c r="Z182" s="72" t="s">
        <v>48</v>
      </c>
      <c r="AA182" s="72" t="s">
        <v>49</v>
      </c>
      <c r="AB182" s="72" t="s">
        <v>50</v>
      </c>
      <c r="AC182" s="72" t="s">
        <v>51</v>
      </c>
      <c r="AD182" s="72" t="s">
        <v>52</v>
      </c>
      <c r="AE182" s="72" t="s">
        <v>53</v>
      </c>
      <c r="AF182" s="73" t="s">
        <v>54</v>
      </c>
      <c r="AH182" s="727" t="s">
        <v>3</v>
      </c>
      <c r="AI182" s="728"/>
      <c r="AJ182" s="728"/>
      <c r="AK182" s="728"/>
      <c r="AL182" s="728" t="s">
        <v>4</v>
      </c>
      <c r="AM182" s="72" t="s">
        <v>24</v>
      </c>
      <c r="AN182" s="72" t="s">
        <v>0</v>
      </c>
      <c r="AO182" s="72" t="s">
        <v>1</v>
      </c>
      <c r="AP182" s="72" t="s">
        <v>9</v>
      </c>
      <c r="AQ182" s="72" t="s">
        <v>10</v>
      </c>
      <c r="AR182" s="72" t="s">
        <v>11</v>
      </c>
      <c r="AS182" s="72" t="s">
        <v>12</v>
      </c>
      <c r="AT182" s="72" t="s">
        <v>13</v>
      </c>
      <c r="AU182" s="72" t="s">
        <v>14</v>
      </c>
      <c r="AV182" s="72" t="s">
        <v>15</v>
      </c>
      <c r="AW182" s="72" t="s">
        <v>16</v>
      </c>
      <c r="AX182" s="72" t="s">
        <v>39</v>
      </c>
      <c r="AY182" s="72" t="s">
        <v>41</v>
      </c>
      <c r="AZ182" s="72" t="s">
        <v>42</v>
      </c>
      <c r="BA182" s="72" t="s">
        <v>43</v>
      </c>
      <c r="BB182" s="72" t="s">
        <v>44</v>
      </c>
      <c r="BC182" s="72" t="s">
        <v>45</v>
      </c>
      <c r="BD182" s="72" t="s">
        <v>46</v>
      </c>
      <c r="BE182" s="72" t="s">
        <v>47</v>
      </c>
      <c r="BF182" s="72" t="s">
        <v>48</v>
      </c>
      <c r="BG182" s="72" t="s">
        <v>49</v>
      </c>
      <c r="BH182" s="72" t="s">
        <v>50</v>
      </c>
      <c r="BI182" s="72" t="s">
        <v>51</v>
      </c>
      <c r="BJ182" s="72" t="s">
        <v>52</v>
      </c>
      <c r="BK182" s="72" t="s">
        <v>53</v>
      </c>
      <c r="BL182" s="73" t="s">
        <v>54</v>
      </c>
    </row>
    <row r="183" spans="2:64" x14ac:dyDescent="0.25">
      <c r="B183" s="729"/>
      <c r="C183" s="730"/>
      <c r="D183" s="730"/>
      <c r="E183" s="730"/>
      <c r="F183" s="730"/>
      <c r="G183" s="94">
        <v>0</v>
      </c>
      <c r="H183" s="94">
        <v>1</v>
      </c>
      <c r="I183" s="94">
        <v>2</v>
      </c>
      <c r="J183" s="94">
        <v>3</v>
      </c>
      <c r="K183" s="94">
        <v>4</v>
      </c>
      <c r="L183" s="94">
        <v>5</v>
      </c>
      <c r="M183" s="94">
        <v>6</v>
      </c>
      <c r="N183" s="94">
        <v>7</v>
      </c>
      <c r="O183" s="94">
        <v>8</v>
      </c>
      <c r="P183" s="94">
        <v>9</v>
      </c>
      <c r="Q183" s="94">
        <v>10</v>
      </c>
      <c r="R183" s="94">
        <v>11</v>
      </c>
      <c r="S183" s="94">
        <v>12</v>
      </c>
      <c r="T183" s="94">
        <v>13</v>
      </c>
      <c r="U183" s="94">
        <v>14</v>
      </c>
      <c r="V183" s="94">
        <v>15</v>
      </c>
      <c r="W183" s="94">
        <v>16</v>
      </c>
      <c r="X183" s="94">
        <v>17</v>
      </c>
      <c r="Y183" s="94">
        <v>18</v>
      </c>
      <c r="Z183" s="94">
        <v>19</v>
      </c>
      <c r="AA183" s="94">
        <v>20</v>
      </c>
      <c r="AB183" s="94">
        <v>21</v>
      </c>
      <c r="AC183" s="94">
        <v>22</v>
      </c>
      <c r="AD183" s="94">
        <v>23</v>
      </c>
      <c r="AE183" s="94">
        <v>24</v>
      </c>
      <c r="AF183" s="100">
        <v>25</v>
      </c>
      <c r="AH183" s="729"/>
      <c r="AI183" s="730"/>
      <c r="AJ183" s="730"/>
      <c r="AK183" s="730"/>
      <c r="AL183" s="730"/>
      <c r="AM183" s="94">
        <v>0</v>
      </c>
      <c r="AN183" s="94">
        <v>1</v>
      </c>
      <c r="AO183" s="94">
        <v>2</v>
      </c>
      <c r="AP183" s="94">
        <v>3</v>
      </c>
      <c r="AQ183" s="94">
        <v>4</v>
      </c>
      <c r="AR183" s="94">
        <v>5</v>
      </c>
      <c r="AS183" s="94">
        <v>6</v>
      </c>
      <c r="AT183" s="94">
        <v>7</v>
      </c>
      <c r="AU183" s="94">
        <v>8</v>
      </c>
      <c r="AV183" s="94">
        <v>9</v>
      </c>
      <c r="AW183" s="94">
        <v>10</v>
      </c>
      <c r="AX183" s="94">
        <v>11</v>
      </c>
      <c r="AY183" s="94">
        <v>12</v>
      </c>
      <c r="AZ183" s="94">
        <v>13</v>
      </c>
      <c r="BA183" s="94">
        <v>14</v>
      </c>
      <c r="BB183" s="94">
        <v>15</v>
      </c>
      <c r="BC183" s="94">
        <v>16</v>
      </c>
      <c r="BD183" s="94">
        <v>17</v>
      </c>
      <c r="BE183" s="94">
        <v>18</v>
      </c>
      <c r="BF183" s="94">
        <v>19</v>
      </c>
      <c r="BG183" s="94">
        <v>20</v>
      </c>
      <c r="BH183" s="94">
        <v>21</v>
      </c>
      <c r="BI183" s="94">
        <v>22</v>
      </c>
      <c r="BJ183" s="94">
        <v>23</v>
      </c>
      <c r="BK183" s="94">
        <v>24</v>
      </c>
      <c r="BL183" s="100">
        <v>25</v>
      </c>
    </row>
    <row r="184" spans="2:64" x14ac:dyDescent="0.25">
      <c r="B184" s="92" t="s">
        <v>91</v>
      </c>
      <c r="C184" s="29"/>
      <c r="D184" s="29"/>
      <c r="E184" s="29"/>
      <c r="F184" s="35" t="s">
        <v>58</v>
      </c>
      <c r="G184" s="97" t="s">
        <v>90</v>
      </c>
      <c r="H184" s="98">
        <f>'Customer Sector'!F102</f>
        <v>65559</v>
      </c>
      <c r="I184" s="98">
        <f>IF('Customer Sector'!$F$23&gt;=I$15,H184*(1+'Customer Sector'!$F$103),0)</f>
        <v>66214.59</v>
      </c>
      <c r="J184" s="98">
        <f>IF('Customer Sector'!$F$23&gt;=J$15,I184*(1+'Customer Sector'!$F$103),0)</f>
        <v>66876.7359</v>
      </c>
      <c r="K184" s="98">
        <f>IF('Customer Sector'!$F$23&gt;=K$15,J184*(1+'Customer Sector'!$F$103),0)</f>
        <v>67545.503259000005</v>
      </c>
      <c r="L184" s="98">
        <f>IF('Customer Sector'!$F$23&gt;=L$15,K184*(1+'Customer Sector'!$F$103),0)</f>
        <v>68220.95829159001</v>
      </c>
      <c r="M184" s="98">
        <f>IF('Customer Sector'!$F$23&gt;=M$15,L184*(1+'Customer Sector'!$F$103),0)</f>
        <v>68903.167874505918</v>
      </c>
      <c r="N184" s="98">
        <f>IF('Customer Sector'!$F$23&gt;=N$15,M184*(1+'Customer Sector'!$F$103),0)</f>
        <v>69592.199553250975</v>
      </c>
      <c r="O184" s="98">
        <f>IF('Customer Sector'!$F$23&gt;=O$15,N184*(1+'Customer Sector'!$F$103),0)</f>
        <v>70288.121548783485</v>
      </c>
      <c r="P184" s="98">
        <f>IF('Customer Sector'!$F$23&gt;=P$15,O184*(1+'Customer Sector'!$F$103),0)</f>
        <v>70991.002764271325</v>
      </c>
      <c r="Q184" s="98">
        <f>IF('Customer Sector'!$F$23&gt;=Q$15,P184*(1+'Customer Sector'!$F$103),0)</f>
        <v>71700.912791914045</v>
      </c>
      <c r="R184" s="98">
        <f>IF('Customer Sector'!$F$23&gt;=R$15,Q184*(1+'Customer Sector'!$F$103),0)</f>
        <v>0</v>
      </c>
      <c r="S184" s="98">
        <f>IF('Customer Sector'!$F$23&gt;=S$15,R184*(1+'Customer Sector'!$F$103),0)</f>
        <v>0</v>
      </c>
      <c r="T184" s="98">
        <f>IF('Customer Sector'!$F$23&gt;=T$15,S184*(1+'Customer Sector'!$F$103),0)</f>
        <v>0</v>
      </c>
      <c r="U184" s="98">
        <f>IF('Customer Sector'!$F$23&gt;=U$15,T184*(1+'Customer Sector'!$F$103),0)</f>
        <v>0</v>
      </c>
      <c r="V184" s="98">
        <f>IF('Customer Sector'!$F$23&gt;=V$15,U184*(1+'Customer Sector'!$F$103),0)</f>
        <v>0</v>
      </c>
      <c r="W184" s="98">
        <f>IF('Customer Sector'!$F$23&gt;=W$15,V184*(1+'Customer Sector'!$F$103),0)</f>
        <v>0</v>
      </c>
      <c r="X184" s="98">
        <f>IF('Customer Sector'!$F$23&gt;=X$15,W184*(1+'Customer Sector'!$F$103),0)</f>
        <v>0</v>
      </c>
      <c r="Y184" s="98">
        <f>IF('Customer Sector'!$F$23&gt;=Y$15,X184*(1+'Customer Sector'!$F$103),0)</f>
        <v>0</v>
      </c>
      <c r="Z184" s="98">
        <f>IF('Customer Sector'!$F$23&gt;=Z$15,Y184*(1+'Customer Sector'!$F$103),0)</f>
        <v>0</v>
      </c>
      <c r="AA184" s="98">
        <f>IF('Customer Sector'!$F$23&gt;=AA$15,Z184*(1+'Customer Sector'!$F$103),0)</f>
        <v>0</v>
      </c>
      <c r="AB184" s="98">
        <f>IF('Customer Sector'!$F$23&gt;=AB$15,AA184*(1+'Customer Sector'!$F$103),0)</f>
        <v>0</v>
      </c>
      <c r="AC184" s="98">
        <f>IF('Customer Sector'!$F$23&gt;=AC$15,AB184*(1+'Customer Sector'!$F$103),0)</f>
        <v>0</v>
      </c>
      <c r="AD184" s="98">
        <f>IF('Customer Sector'!$F$23&gt;=AD$15,AC184*(1+'Customer Sector'!$F$103),0)</f>
        <v>0</v>
      </c>
      <c r="AE184" s="98">
        <f>IF('Customer Sector'!$F$23&gt;=AE$15,AD184*(1+'Customer Sector'!$F$103),0)</f>
        <v>0</v>
      </c>
      <c r="AF184" s="99">
        <f>IF('Customer Sector'!$F$23&gt;=AF$15,AE184*(1+'Customer Sector'!$F$103),0)</f>
        <v>0</v>
      </c>
      <c r="AH184" s="92" t="s">
        <v>91</v>
      </c>
      <c r="AI184" s="29"/>
      <c r="AJ184" s="29"/>
      <c r="AK184" s="29"/>
      <c r="AL184" s="29"/>
      <c r="AM184" s="97" t="s">
        <v>90</v>
      </c>
      <c r="AN184" s="98">
        <f>'Customer Sector'!L102</f>
        <v>5714</v>
      </c>
      <c r="AO184" s="98">
        <f>IF('Customer Sector'!$L$23&gt;=AO$15,AN184*(1+'Customer Sector'!$L$103),0)</f>
        <v>6365.3960000000006</v>
      </c>
      <c r="AP184" s="98">
        <f>IF('Customer Sector'!$L$23&gt;=AP$15,AO184*(1+'Customer Sector'!$L$103),0)</f>
        <v>7091.0511440000009</v>
      </c>
      <c r="AQ184" s="98">
        <f>IF('Customer Sector'!$L$23&gt;=AQ$15,AP184*(1+'Customer Sector'!$L$103),0)</f>
        <v>7899.4309744160018</v>
      </c>
      <c r="AR184" s="98">
        <f>IF('Customer Sector'!$L$23&gt;=AR$15,AQ184*(1+'Customer Sector'!$L$103),0)</f>
        <v>8799.9661054994267</v>
      </c>
      <c r="AS184" s="98">
        <f>IF('Customer Sector'!$L$23&gt;=AS$15,AR184*(1+'Customer Sector'!$L$103),0)</f>
        <v>9803.1622415263628</v>
      </c>
      <c r="AT184" s="98">
        <f>IF('Customer Sector'!$L$23&gt;=AT$15,AS184*(1+'Customer Sector'!$L$103),0)</f>
        <v>10920.722737060369</v>
      </c>
      <c r="AU184" s="98">
        <f>IF('Customer Sector'!$L$23&gt;=AU$15,AT184*(1+'Customer Sector'!$L$103),0)</f>
        <v>12165.685129085252</v>
      </c>
      <c r="AV184" s="98">
        <f>IF('Customer Sector'!$L$23&gt;=AV$15,AU184*(1+'Customer Sector'!$L$103),0)</f>
        <v>13552.573233800971</v>
      </c>
      <c r="AW184" s="98">
        <f>IF('Customer Sector'!$L$23&gt;=AW$15,AV184*(1+'Customer Sector'!$L$103),0)</f>
        <v>15097.566582454283</v>
      </c>
      <c r="AX184" s="98">
        <f>IF('Customer Sector'!$L$23&gt;=AX$15,AW184*(1+'Customer Sector'!$L$103),0)</f>
        <v>0</v>
      </c>
      <c r="AY184" s="98">
        <f>IF('Customer Sector'!$L$23&gt;=AY$15,AX184*(1+'Customer Sector'!$L$103),0)</f>
        <v>0</v>
      </c>
      <c r="AZ184" s="98">
        <f>IF('Customer Sector'!$L$23&gt;=AZ$15,AY184*(1+'Customer Sector'!$L$103),0)</f>
        <v>0</v>
      </c>
      <c r="BA184" s="98">
        <f>IF('Customer Sector'!$L$23&gt;=BA$15,AZ184*(1+'Customer Sector'!$L$103),0)</f>
        <v>0</v>
      </c>
      <c r="BB184" s="98">
        <f>IF('Customer Sector'!$L$23&gt;=BB$15,BA184*(1+'Customer Sector'!$L$103),0)</f>
        <v>0</v>
      </c>
      <c r="BC184" s="98">
        <f>IF('Customer Sector'!$L$23&gt;=BC$15,BB184*(1+'Customer Sector'!$L$103),0)</f>
        <v>0</v>
      </c>
      <c r="BD184" s="98">
        <f>IF('Customer Sector'!$L$23&gt;=BD$15,BC184*(1+'Customer Sector'!$L$103),0)</f>
        <v>0</v>
      </c>
      <c r="BE184" s="98">
        <f>IF('Customer Sector'!$L$23&gt;=BE$15,BD184*(1+'Customer Sector'!$L$103),0)</f>
        <v>0</v>
      </c>
      <c r="BF184" s="98">
        <f>IF('Customer Sector'!$L$23&gt;=BF$15,BE184*(1+'Customer Sector'!$L$103),0)</f>
        <v>0</v>
      </c>
      <c r="BG184" s="98">
        <f>IF('Customer Sector'!$L$23&gt;=BG$15,BF184*(1+'Customer Sector'!$L$103),0)</f>
        <v>0</v>
      </c>
      <c r="BH184" s="98">
        <f>IF('Customer Sector'!$L$23&gt;=BH$15,BG184*(1+'Customer Sector'!$L$103),0)</f>
        <v>0</v>
      </c>
      <c r="BI184" s="98">
        <f>IF('Customer Sector'!$L$23&gt;=BI$15,BH184*(1+'Customer Sector'!$L$103),0)</f>
        <v>0</v>
      </c>
      <c r="BJ184" s="98">
        <f>IF('Customer Sector'!$L$23&gt;=BJ$15,BI184*(1+'Customer Sector'!$L$103),0)</f>
        <v>0</v>
      </c>
      <c r="BK184" s="98">
        <f>IF('Customer Sector'!$L$23&gt;=BK$15,BJ184*(1+'Customer Sector'!$L$103),0)</f>
        <v>0</v>
      </c>
      <c r="BL184" s="99">
        <f>IF('Customer Sector'!$L$23&gt;=BL$15,BK184*(1+'Customer Sector'!$L$103),0)</f>
        <v>0</v>
      </c>
    </row>
    <row r="185" spans="2:64" x14ac:dyDescent="0.25">
      <c r="H185" s="81"/>
      <c r="I185" s="81"/>
      <c r="J185" s="81"/>
      <c r="K185" s="81"/>
      <c r="L185" s="81"/>
      <c r="M185" s="81"/>
      <c r="N185" s="81"/>
      <c r="O185" s="81"/>
      <c r="P185" s="81"/>
      <c r="Q185" s="81"/>
      <c r="R185" s="81"/>
      <c r="S185" s="81"/>
      <c r="T185" s="81"/>
      <c r="U185" s="81"/>
      <c r="V185" s="81"/>
      <c r="W185" s="81"/>
      <c r="X185" s="81"/>
      <c r="Y185" s="81"/>
      <c r="Z185" s="81"/>
      <c r="AN185" s="81"/>
      <c r="AO185" s="81"/>
      <c r="AP185" s="81"/>
      <c r="AQ185" s="81"/>
      <c r="AR185" s="81"/>
      <c r="AS185" s="81"/>
      <c r="AT185" s="81"/>
      <c r="AU185" s="81"/>
      <c r="AV185" s="81"/>
      <c r="AW185" s="81"/>
      <c r="AX185" s="81"/>
      <c r="AY185" s="81"/>
      <c r="AZ185" s="81"/>
      <c r="BA185" s="81"/>
      <c r="BB185" s="81"/>
      <c r="BC185" s="81"/>
      <c r="BD185" s="81"/>
      <c r="BE185" s="81"/>
      <c r="BF185" s="81"/>
    </row>
    <row r="186" spans="2:64" x14ac:dyDescent="0.25">
      <c r="B186" s="747" t="s">
        <v>64</v>
      </c>
      <c r="C186" s="748"/>
      <c r="D186" s="748"/>
      <c r="E186" s="748"/>
      <c r="F186" s="748"/>
      <c r="G186" s="748"/>
      <c r="H186" s="748"/>
      <c r="I186" s="748"/>
      <c r="J186" s="748"/>
      <c r="K186" s="748"/>
      <c r="L186" s="748"/>
      <c r="M186" s="217"/>
      <c r="N186" s="217"/>
      <c r="O186" s="217"/>
      <c r="P186" s="217"/>
      <c r="Q186" s="218"/>
      <c r="R186" s="1"/>
      <c r="S186" s="1"/>
      <c r="T186" s="1"/>
      <c r="U186" s="1"/>
      <c r="V186" s="1"/>
      <c r="W186" s="1"/>
      <c r="X186" s="1"/>
      <c r="Y186" s="1"/>
      <c r="Z186" s="1"/>
      <c r="AA186" s="1"/>
      <c r="AB186" s="1"/>
      <c r="AC186" s="1"/>
      <c r="AD186" s="1"/>
      <c r="AE186" s="1"/>
      <c r="AF186" s="1"/>
      <c r="AH186" s="747" t="s">
        <v>64</v>
      </c>
      <c r="AI186" s="748"/>
      <c r="AJ186" s="748"/>
      <c r="AK186" s="748"/>
      <c r="AL186" s="748"/>
      <c r="AM186" s="748"/>
      <c r="AN186" s="748"/>
      <c r="AO186" s="748"/>
      <c r="AP186" s="748"/>
      <c r="AQ186" s="748"/>
      <c r="AR186" s="748"/>
      <c r="AS186" s="217"/>
      <c r="AT186" s="217"/>
      <c r="AU186" s="217"/>
      <c r="AV186" s="217"/>
      <c r="AW186" s="218"/>
      <c r="AX186" s="1"/>
      <c r="AY186" s="1"/>
      <c r="AZ186" s="1"/>
      <c r="BA186" s="1"/>
      <c r="BB186" s="1"/>
      <c r="BC186" s="1"/>
      <c r="BD186" s="1"/>
      <c r="BE186" s="1"/>
      <c r="BF186" s="1"/>
      <c r="BG186" s="1"/>
      <c r="BH186" s="1"/>
      <c r="BI186" s="1"/>
      <c r="BJ186" s="1"/>
      <c r="BK186" s="1"/>
      <c r="BL186" s="1"/>
    </row>
    <row r="187" spans="2:64" x14ac:dyDescent="0.25">
      <c r="B187" s="727" t="s">
        <v>3</v>
      </c>
      <c r="C187" s="728"/>
      <c r="D187" s="728"/>
      <c r="E187" s="728"/>
      <c r="F187" s="728" t="s">
        <v>4</v>
      </c>
      <c r="G187" s="72" t="s">
        <v>24</v>
      </c>
      <c r="H187" s="72" t="s">
        <v>0</v>
      </c>
      <c r="I187" s="72" t="s">
        <v>1</v>
      </c>
      <c r="J187" s="72" t="s">
        <v>9</v>
      </c>
      <c r="K187" s="72" t="s">
        <v>10</v>
      </c>
      <c r="L187" s="72" t="s">
        <v>11</v>
      </c>
      <c r="M187" s="72" t="s">
        <v>12</v>
      </c>
      <c r="N187" s="72" t="s">
        <v>13</v>
      </c>
      <c r="O187" s="72" t="s">
        <v>14</v>
      </c>
      <c r="P187" s="72" t="s">
        <v>15</v>
      </c>
      <c r="Q187" s="72" t="s">
        <v>16</v>
      </c>
      <c r="R187" s="72" t="s">
        <v>39</v>
      </c>
      <c r="S187" s="72" t="s">
        <v>41</v>
      </c>
      <c r="T187" s="72" t="s">
        <v>42</v>
      </c>
      <c r="U187" s="72" t="s">
        <v>43</v>
      </c>
      <c r="V187" s="72" t="s">
        <v>44</v>
      </c>
      <c r="W187" s="72" t="s">
        <v>45</v>
      </c>
      <c r="X187" s="72" t="s">
        <v>46</v>
      </c>
      <c r="Y187" s="72" t="s">
        <v>47</v>
      </c>
      <c r="Z187" s="72" t="s">
        <v>48</v>
      </c>
      <c r="AA187" s="72" t="s">
        <v>49</v>
      </c>
      <c r="AB187" s="72" t="s">
        <v>50</v>
      </c>
      <c r="AC187" s="72" t="s">
        <v>51</v>
      </c>
      <c r="AD187" s="72" t="s">
        <v>52</v>
      </c>
      <c r="AE187" s="72" t="s">
        <v>53</v>
      </c>
      <c r="AF187" s="73" t="s">
        <v>54</v>
      </c>
      <c r="AH187" s="727" t="s">
        <v>3</v>
      </c>
      <c r="AI187" s="728"/>
      <c r="AJ187" s="728"/>
      <c r="AK187" s="728"/>
      <c r="AL187" s="728" t="s">
        <v>4</v>
      </c>
      <c r="AM187" s="72" t="s">
        <v>24</v>
      </c>
      <c r="AN187" s="72" t="s">
        <v>0</v>
      </c>
      <c r="AO187" s="72" t="s">
        <v>1</v>
      </c>
      <c r="AP187" s="72" t="s">
        <v>9</v>
      </c>
      <c r="AQ187" s="72" t="s">
        <v>10</v>
      </c>
      <c r="AR187" s="72" t="s">
        <v>11</v>
      </c>
      <c r="AS187" s="72" t="s">
        <v>12</v>
      </c>
      <c r="AT187" s="72" t="s">
        <v>13</v>
      </c>
      <c r="AU187" s="72" t="s">
        <v>14</v>
      </c>
      <c r="AV187" s="72" t="s">
        <v>15</v>
      </c>
      <c r="AW187" s="72" t="s">
        <v>16</v>
      </c>
      <c r="AX187" s="72" t="s">
        <v>39</v>
      </c>
      <c r="AY187" s="72" t="s">
        <v>41</v>
      </c>
      <c r="AZ187" s="72" t="s">
        <v>42</v>
      </c>
      <c r="BA187" s="72" t="s">
        <v>43</v>
      </c>
      <c r="BB187" s="72" t="s">
        <v>44</v>
      </c>
      <c r="BC187" s="72" t="s">
        <v>45</v>
      </c>
      <c r="BD187" s="72" t="s">
        <v>46</v>
      </c>
      <c r="BE187" s="72" t="s">
        <v>47</v>
      </c>
      <c r="BF187" s="72" t="s">
        <v>48</v>
      </c>
      <c r="BG187" s="72" t="s">
        <v>49</v>
      </c>
      <c r="BH187" s="72" t="s">
        <v>50</v>
      </c>
      <c r="BI187" s="72" t="s">
        <v>51</v>
      </c>
      <c r="BJ187" s="72" t="s">
        <v>52</v>
      </c>
      <c r="BK187" s="72" t="s">
        <v>53</v>
      </c>
      <c r="BL187" s="73" t="s">
        <v>54</v>
      </c>
    </row>
    <row r="188" spans="2:64" x14ac:dyDescent="0.25">
      <c r="B188" s="729"/>
      <c r="C188" s="730"/>
      <c r="D188" s="730"/>
      <c r="E188" s="730"/>
      <c r="F188" s="730"/>
      <c r="G188" s="94">
        <v>0</v>
      </c>
      <c r="H188" s="94">
        <v>1</v>
      </c>
      <c r="I188" s="94">
        <v>2</v>
      </c>
      <c r="J188" s="94">
        <v>3</v>
      </c>
      <c r="K188" s="94">
        <v>4</v>
      </c>
      <c r="L188" s="94">
        <v>5</v>
      </c>
      <c r="M188" s="94">
        <v>6</v>
      </c>
      <c r="N188" s="94">
        <v>7</v>
      </c>
      <c r="O188" s="94">
        <v>8</v>
      </c>
      <c r="P188" s="94">
        <v>9</v>
      </c>
      <c r="Q188" s="94">
        <v>10</v>
      </c>
      <c r="R188" s="94">
        <v>11</v>
      </c>
      <c r="S188" s="94">
        <v>12</v>
      </c>
      <c r="T188" s="94">
        <v>13</v>
      </c>
      <c r="U188" s="94">
        <v>14</v>
      </c>
      <c r="V188" s="94">
        <v>15</v>
      </c>
      <c r="W188" s="94">
        <v>16</v>
      </c>
      <c r="X188" s="94">
        <v>17</v>
      </c>
      <c r="Y188" s="94">
        <v>18</v>
      </c>
      <c r="Z188" s="94">
        <v>19</v>
      </c>
      <c r="AA188" s="94">
        <v>20</v>
      </c>
      <c r="AB188" s="94">
        <v>21</v>
      </c>
      <c r="AC188" s="94">
        <v>22</v>
      </c>
      <c r="AD188" s="94">
        <v>23</v>
      </c>
      <c r="AE188" s="94">
        <v>24</v>
      </c>
      <c r="AF188" s="100">
        <v>25</v>
      </c>
      <c r="AH188" s="729"/>
      <c r="AI188" s="730"/>
      <c r="AJ188" s="730"/>
      <c r="AK188" s="730"/>
      <c r="AL188" s="730"/>
      <c r="AM188" s="94">
        <v>0</v>
      </c>
      <c r="AN188" s="94">
        <v>1</v>
      </c>
      <c r="AO188" s="94">
        <v>2</v>
      </c>
      <c r="AP188" s="94">
        <v>3</v>
      </c>
      <c r="AQ188" s="94">
        <v>4</v>
      </c>
      <c r="AR188" s="94">
        <v>5</v>
      </c>
      <c r="AS188" s="94">
        <v>6</v>
      </c>
      <c r="AT188" s="94">
        <v>7</v>
      </c>
      <c r="AU188" s="94">
        <v>8</v>
      </c>
      <c r="AV188" s="94">
        <v>9</v>
      </c>
      <c r="AW188" s="94">
        <v>10</v>
      </c>
      <c r="AX188" s="94">
        <v>11</v>
      </c>
      <c r="AY188" s="94">
        <v>12</v>
      </c>
      <c r="AZ188" s="94">
        <v>13</v>
      </c>
      <c r="BA188" s="94">
        <v>14</v>
      </c>
      <c r="BB188" s="94">
        <v>15</v>
      </c>
      <c r="BC188" s="94">
        <v>16</v>
      </c>
      <c r="BD188" s="94">
        <v>17</v>
      </c>
      <c r="BE188" s="94">
        <v>18</v>
      </c>
      <c r="BF188" s="94">
        <v>19</v>
      </c>
      <c r="BG188" s="94">
        <v>20</v>
      </c>
      <c r="BH188" s="94">
        <v>21</v>
      </c>
      <c r="BI188" s="94">
        <v>22</v>
      </c>
      <c r="BJ188" s="94">
        <v>23</v>
      </c>
      <c r="BK188" s="94">
        <v>24</v>
      </c>
      <c r="BL188" s="100">
        <v>25</v>
      </c>
    </row>
    <row r="189" spans="2:64" x14ac:dyDescent="0.25">
      <c r="B189" s="10" t="s">
        <v>56</v>
      </c>
      <c r="C189" s="11"/>
      <c r="D189" s="11"/>
      <c r="E189" s="11"/>
      <c r="F189" s="17" t="s">
        <v>58</v>
      </c>
      <c r="G189" s="39">
        <f>'Customer Sector'!F96</f>
        <v>2062040</v>
      </c>
      <c r="H189" s="39">
        <f>G189*(1+'Customer Sector'!$F$97)</f>
        <v>2083072.808</v>
      </c>
      <c r="I189" s="39">
        <f>H189*(1+'Customer Sector'!$F$97)</f>
        <v>2104320.1506416001</v>
      </c>
      <c r="J189" s="39">
        <f>I189*(1+'Customer Sector'!$F$97)</f>
        <v>2125784.2161781443</v>
      </c>
      <c r="K189" s="39">
        <f>J189*(1+'Customer Sector'!$F$97)</f>
        <v>2147467.2151831612</v>
      </c>
      <c r="L189" s="39">
        <f>K189*(1+'Customer Sector'!$F$97)</f>
        <v>2169371.3807780296</v>
      </c>
      <c r="M189" s="39">
        <f>L189*(1+'Customer Sector'!$F$97)</f>
        <v>2191498.9688619655</v>
      </c>
      <c r="N189" s="39">
        <f>M189*(1+'Customer Sector'!$F$97)</f>
        <v>2213852.2583443574</v>
      </c>
      <c r="O189" s="39">
        <f>N189*(1+'Customer Sector'!$F$97)</f>
        <v>2236433.5513794697</v>
      </c>
      <c r="P189" s="39">
        <f>O189*(1+'Customer Sector'!$F$97)</f>
        <v>2259245.1736035403</v>
      </c>
      <c r="Q189" s="39">
        <f>P189*(1+'Customer Sector'!$F$97)</f>
        <v>2282289.4743742961</v>
      </c>
      <c r="R189" s="39">
        <f>Q189*(1+'Customer Sector'!$F$97)</f>
        <v>2305568.8270129138</v>
      </c>
      <c r="S189" s="39">
        <f>R189*(1+'Customer Sector'!$F$97)</f>
        <v>2329085.6290484453</v>
      </c>
      <c r="T189" s="39">
        <f>S189*(1+'Customer Sector'!$F$97)</f>
        <v>2352842.3024647394</v>
      </c>
      <c r="U189" s="39">
        <f>T189*(1+'Customer Sector'!$F$97)</f>
        <v>2376841.2939498797</v>
      </c>
      <c r="V189" s="39">
        <f>U189*(1+'Customer Sector'!$F$97)</f>
        <v>2401085.0751481685</v>
      </c>
      <c r="W189" s="39">
        <f>V189*(1+'Customer Sector'!$F$97)</f>
        <v>2425576.1429146798</v>
      </c>
      <c r="X189" s="39">
        <f>W189*(1+'Customer Sector'!$F$97)</f>
        <v>2450317.0195724093</v>
      </c>
      <c r="Y189" s="39">
        <f>X189*(1+'Customer Sector'!$F$97)</f>
        <v>2475310.2531720479</v>
      </c>
      <c r="Z189" s="39">
        <f>Y189*(1+'Customer Sector'!$F$97)</f>
        <v>2500558.4177544028</v>
      </c>
      <c r="AA189" s="39">
        <f>Z189*(1+'Customer Sector'!$F$97)</f>
        <v>2526064.1136154979</v>
      </c>
      <c r="AB189" s="39">
        <f>AA189*(1+'Customer Sector'!$F$97)</f>
        <v>2551829.9675743761</v>
      </c>
      <c r="AC189" s="39">
        <f>AB189*(1+'Customer Sector'!$F$97)</f>
        <v>2577858.6332436348</v>
      </c>
      <c r="AD189" s="39">
        <f>AC189*(1+'Customer Sector'!$F$97)</f>
        <v>2604152.7913027201</v>
      </c>
      <c r="AE189" s="39">
        <f>AD189*(1+'Customer Sector'!$F$97)</f>
        <v>2630715.149774008</v>
      </c>
      <c r="AF189" s="40">
        <f>AE189*(1+'Customer Sector'!$F$97)</f>
        <v>2657548.444301703</v>
      </c>
      <c r="AH189" s="10" t="s">
        <v>56</v>
      </c>
      <c r="AI189" s="11"/>
      <c r="AJ189" s="11"/>
      <c r="AK189" s="11"/>
      <c r="AL189" s="17" t="s">
        <v>58</v>
      </c>
      <c r="AM189" s="39">
        <f>'Customer Sector'!L96</f>
        <v>305540</v>
      </c>
      <c r="AN189" s="39">
        <f>AM189*(1+'Customer Sector'!$L$97)</f>
        <v>308656.50799999997</v>
      </c>
      <c r="AO189" s="39">
        <f>AN189*(1+'Customer Sector'!$L$97)</f>
        <v>311804.80438159994</v>
      </c>
      <c r="AP189" s="39">
        <f>AO189*(1+'Customer Sector'!$L$97)</f>
        <v>314985.21338629228</v>
      </c>
      <c r="AQ189" s="39">
        <f>AP189*(1+'Customer Sector'!$L$97)</f>
        <v>318198.06256283243</v>
      </c>
      <c r="AR189" s="39">
        <f>AQ189*(1+'Customer Sector'!$L$97)</f>
        <v>321443.6828009733</v>
      </c>
      <c r="AS189" s="39">
        <f>AR189*(1+'Customer Sector'!$L$97)</f>
        <v>324722.40836554323</v>
      </c>
      <c r="AT189" s="39">
        <f>AS189*(1+'Customer Sector'!$L$97)</f>
        <v>328034.57693087176</v>
      </c>
      <c r="AU189" s="39">
        <f>AT189*(1+'Customer Sector'!$L$97)</f>
        <v>331380.52961556666</v>
      </c>
      <c r="AV189" s="39">
        <f>AU189*(1+'Customer Sector'!$L$97)</f>
        <v>334760.61101764545</v>
      </c>
      <c r="AW189" s="39">
        <f>AV189*(1+'Customer Sector'!$L$97)</f>
        <v>338175.16925002541</v>
      </c>
      <c r="AX189" s="39">
        <f>AW189*(1+'Customer Sector'!$L$97)</f>
        <v>341624.55597637565</v>
      </c>
      <c r="AY189" s="39">
        <f>AX189*(1+'Customer Sector'!$L$97)</f>
        <v>345109.12644733465</v>
      </c>
      <c r="AZ189" s="39">
        <f>AY189*(1+'Customer Sector'!$L$97)</f>
        <v>348629.23953709746</v>
      </c>
      <c r="BA189" s="39">
        <f>AZ189*(1+'Customer Sector'!$L$97)</f>
        <v>352185.25778037583</v>
      </c>
      <c r="BB189" s="39">
        <f>BA189*(1+'Customer Sector'!$L$97)</f>
        <v>355777.54740973568</v>
      </c>
      <c r="BC189" s="39">
        <f>BB189*(1+'Customer Sector'!$L$97)</f>
        <v>359406.47839331499</v>
      </c>
      <c r="BD189" s="39">
        <f>BC189*(1+'Customer Sector'!$L$97)</f>
        <v>363072.42447292682</v>
      </c>
      <c r="BE189" s="39">
        <f>BD189*(1+'Customer Sector'!$L$97)</f>
        <v>366775.76320255065</v>
      </c>
      <c r="BF189" s="39">
        <f>BE189*(1+'Customer Sector'!$L$97)</f>
        <v>370516.87598721666</v>
      </c>
      <c r="BG189" s="39">
        <f>BF189*(1+'Customer Sector'!$L$97)</f>
        <v>374296.14812228625</v>
      </c>
      <c r="BH189" s="39">
        <f>BG189*(1+'Customer Sector'!$L$97)</f>
        <v>378113.96883313358</v>
      </c>
      <c r="BI189" s="39">
        <f>BH189*(1+'Customer Sector'!$L$97)</f>
        <v>381970.73131523153</v>
      </c>
      <c r="BJ189" s="39">
        <f>BI189*(1+'Customer Sector'!$L$97)</f>
        <v>385866.83277464687</v>
      </c>
      <c r="BK189" s="39">
        <f>BJ189*(1+'Customer Sector'!$L$97)</f>
        <v>389802.67446894827</v>
      </c>
      <c r="BL189" s="40">
        <f>BK189*(1+'Customer Sector'!$L$97)</f>
        <v>393778.66174853157</v>
      </c>
    </row>
    <row r="190" spans="2:64" x14ac:dyDescent="0.25">
      <c r="B190" s="4" t="s">
        <v>59</v>
      </c>
      <c r="C190" s="5"/>
      <c r="D190" s="5"/>
      <c r="E190" s="5"/>
      <c r="F190" s="12" t="s">
        <v>62</v>
      </c>
      <c r="G190" s="41">
        <f t="shared" ref="G190:AF190" si="166">G58/G189</f>
        <v>12463.385773311866</v>
      </c>
      <c r="H190" s="41">
        <f t="shared" si="166"/>
        <v>12482.501763807768</v>
      </c>
      <c r="I190" s="41">
        <f t="shared" si="166"/>
        <v>12501.722645187279</v>
      </c>
      <c r="J190" s="41">
        <f t="shared" si="166"/>
        <v>12521.048772830592</v>
      </c>
      <c r="K190" s="41">
        <f t="shared" si="166"/>
        <v>12540.48050350125</v>
      </c>
      <c r="L190" s="41">
        <f t="shared" si="166"/>
        <v>12560.018195351291</v>
      </c>
      <c r="M190" s="41">
        <f t="shared" si="166"/>
        <v>12579.662207926427</v>
      </c>
      <c r="N190" s="41">
        <f t="shared" si="166"/>
        <v>12599.41290217122</v>
      </c>
      <c r="O190" s="41">
        <f t="shared" si="166"/>
        <v>12619.270640434297</v>
      </c>
      <c r="P190" s="41">
        <f t="shared" si="166"/>
        <v>12639.23578647357</v>
      </c>
      <c r="Q190" s="41">
        <f t="shared" si="166"/>
        <v>12659.30870546149</v>
      </c>
      <c r="R190" s="41">
        <f t="shared" si="166"/>
        <v>12706.928358085479</v>
      </c>
      <c r="S190" s="41">
        <f t="shared" si="166"/>
        <v>12754.727138288139</v>
      </c>
      <c r="T190" s="41">
        <f t="shared" si="166"/>
        <v>12802.705719881382</v>
      </c>
      <c r="U190" s="41">
        <f t="shared" si="166"/>
        <v>12850.864779211763</v>
      </c>
      <c r="V190" s="41">
        <f t="shared" si="166"/>
        <v>12899.204995169994</v>
      </c>
      <c r="W190" s="41">
        <f t="shared" si="166"/>
        <v>12947.727049200528</v>
      </c>
      <c r="X190" s="41">
        <f t="shared" si="166"/>
        <v>12996.431625311163</v>
      </c>
      <c r="Y190" s="41">
        <f t="shared" si="166"/>
        <v>13045.319410082677</v>
      </c>
      <c r="Z190" s="41">
        <f t="shared" si="166"/>
        <v>13094.391092678512</v>
      </c>
      <c r="AA190" s="41">
        <f t="shared" si="166"/>
        <v>13143.647364854496</v>
      </c>
      <c r="AB190" s="41">
        <f t="shared" si="166"/>
        <v>13193.088920968577</v>
      </c>
      <c r="AC190" s="41">
        <f t="shared" si="166"/>
        <v>13242.716457990633</v>
      </c>
      <c r="AD190" s="41">
        <f t="shared" si="166"/>
        <v>13292.530675512277</v>
      </c>
      <c r="AE190" s="41">
        <f t="shared" si="166"/>
        <v>13342.53227575673</v>
      </c>
      <c r="AF190" s="42">
        <f t="shared" si="166"/>
        <v>13392.721963588718</v>
      </c>
      <c r="AH190" s="4" t="s">
        <v>59</v>
      </c>
      <c r="AI190" s="5"/>
      <c r="AJ190" s="5"/>
      <c r="AK190" s="5"/>
      <c r="AL190" s="12" t="s">
        <v>62</v>
      </c>
      <c r="AM190" s="41">
        <f t="shared" ref="AM190:BL190" si="167">AM58/AM189</f>
        <v>181282.31982719121</v>
      </c>
      <c r="AN190" s="41">
        <f t="shared" si="167"/>
        <v>180752.78490483022</v>
      </c>
      <c r="AO190" s="41">
        <f t="shared" si="167"/>
        <v>180178.61629766246</v>
      </c>
      <c r="AP190" s="41">
        <f t="shared" si="167"/>
        <v>179557.28381660671</v>
      </c>
      <c r="AQ190" s="41">
        <f t="shared" si="167"/>
        <v>178886.11498039114</v>
      </c>
      <c r="AR190" s="41">
        <f t="shared" si="167"/>
        <v>178162.28701492335</v>
      </c>
      <c r="AS190" s="41">
        <f t="shared" si="167"/>
        <v>177382.81840281302</v>
      </c>
      <c r="AT190" s="41">
        <f t="shared" si="167"/>
        <v>176544.55995775393</v>
      </c>
      <c r="AU190" s="41">
        <f t="shared" si="167"/>
        <v>175644.18539704956</v>
      </c>
      <c r="AV190" s="41">
        <f t="shared" si="167"/>
        <v>174678.18138406484</v>
      </c>
      <c r="AW190" s="41">
        <f t="shared" si="167"/>
        <v>173642.83701080014</v>
      </c>
      <c r="AX190" s="41">
        <f t="shared" si="167"/>
        <v>173883.48239964902</v>
      </c>
      <c r="AY190" s="41">
        <f t="shared" si="167"/>
        <v>174124.46129032367</v>
      </c>
      <c r="AZ190" s="41">
        <f t="shared" si="167"/>
        <v>174365.77414501234</v>
      </c>
      <c r="BA190" s="41">
        <f t="shared" si="167"/>
        <v>174607.42142654376</v>
      </c>
      <c r="BB190" s="41">
        <f t="shared" si="167"/>
        <v>174849.4035983881</v>
      </c>
      <c r="BC190" s="41">
        <f t="shared" si="167"/>
        <v>175091.72112465787</v>
      </c>
      <c r="BD190" s="41">
        <f t="shared" si="167"/>
        <v>175334.3744701088</v>
      </c>
      <c r="BE190" s="41">
        <f t="shared" si="167"/>
        <v>175577.36410014066</v>
      </c>
      <c r="BF190" s="41">
        <f t="shared" si="167"/>
        <v>175820.69048079819</v>
      </c>
      <c r="BG190" s="41">
        <f t="shared" si="167"/>
        <v>176064.35407877198</v>
      </c>
      <c r="BH190" s="41">
        <f t="shared" si="167"/>
        <v>176308.35536139947</v>
      </c>
      <c r="BI190" s="41">
        <f t="shared" si="167"/>
        <v>176552.69479666575</v>
      </c>
      <c r="BJ190" s="41">
        <f t="shared" si="167"/>
        <v>176797.3728532044</v>
      </c>
      <c r="BK190" s="41">
        <f t="shared" si="167"/>
        <v>177042.39000029853</v>
      </c>
      <c r="BL190" s="42">
        <f t="shared" si="167"/>
        <v>177287.7467078816</v>
      </c>
    </row>
    <row r="191" spans="2:64" x14ac:dyDescent="0.25">
      <c r="B191" s="4"/>
      <c r="C191" s="5" t="s">
        <v>63</v>
      </c>
      <c r="D191" s="5"/>
      <c r="E191" s="5"/>
      <c r="F191" s="12" t="s">
        <v>19</v>
      </c>
      <c r="G191" s="48">
        <f t="shared" ref="G191:AF191" si="168">G57/G189</f>
        <v>12463.385773311866</v>
      </c>
      <c r="H191" s="48">
        <f t="shared" si="168"/>
        <v>12510.268436090113</v>
      </c>
      <c r="I191" s="48">
        <f t="shared" si="168"/>
        <v>12557.327454162913</v>
      </c>
      <c r="J191" s="48">
        <f t="shared" si="168"/>
        <v>12604.563490913872</v>
      </c>
      <c r="K191" s="48">
        <f t="shared" si="168"/>
        <v>12651.977212222002</v>
      </c>
      <c r="L191" s="48">
        <f t="shared" si="168"/>
        <v>12699.569286471105</v>
      </c>
      <c r="M191" s="48">
        <f t="shared" si="168"/>
        <v>12747.340384559197</v>
      </c>
      <c r="N191" s="48">
        <f t="shared" si="168"/>
        <v>12795.291179907965</v>
      </c>
      <c r="O191" s="48">
        <f t="shared" si="168"/>
        <v>12843.422348472261</v>
      </c>
      <c r="P191" s="48">
        <f t="shared" si="168"/>
        <v>12891.734568749627</v>
      </c>
      <c r="Q191" s="48">
        <f t="shared" si="168"/>
        <v>12940.228521789866</v>
      </c>
      <c r="R191" s="48">
        <f t="shared" si="168"/>
        <v>12988.904891204638</v>
      </c>
      <c r="S191" s="48">
        <f t="shared" si="168"/>
        <v>13037.764363177097</v>
      </c>
      <c r="T191" s="48">
        <f t="shared" si="168"/>
        <v>13086.807626471566</v>
      </c>
      <c r="U191" s="48">
        <f t="shared" si="168"/>
        <v>13136.035372443248</v>
      </c>
      <c r="V191" s="48">
        <f t="shared" si="168"/>
        <v>13185.448295047965</v>
      </c>
      <c r="W191" s="48">
        <f t="shared" si="168"/>
        <v>13235.047090851946</v>
      </c>
      <c r="X191" s="48">
        <f t="shared" si="168"/>
        <v>13284.832459041649</v>
      </c>
      <c r="Y191" s="48">
        <f t="shared" si="168"/>
        <v>13334.805101433609</v>
      </c>
      <c r="Z191" s="48">
        <f t="shared" si="168"/>
        <v>13384.965722484339</v>
      </c>
      <c r="AA191" s="48">
        <f t="shared" si="168"/>
        <v>13435.315029300256</v>
      </c>
      <c r="AB191" s="48">
        <f t="shared" si="168"/>
        <v>13485.853731647652</v>
      </c>
      <c r="AC191" s="48">
        <f t="shared" si="168"/>
        <v>13536.5825419627</v>
      </c>
      <c r="AD191" s="48">
        <f t="shared" si="168"/>
        <v>13587.502175361487</v>
      </c>
      <c r="AE191" s="48">
        <f t="shared" si="168"/>
        <v>13638.613349650119</v>
      </c>
      <c r="AF191" s="57">
        <f t="shared" si="168"/>
        <v>13689.916785334804</v>
      </c>
      <c r="AH191" s="4"/>
      <c r="AI191" s="5" t="s">
        <v>63</v>
      </c>
      <c r="AJ191" s="5"/>
      <c r="AK191" s="5"/>
      <c r="AL191" s="12" t="s">
        <v>19</v>
      </c>
      <c r="AM191" s="48">
        <f t="shared" ref="AM191:BL191" si="169">AM57/AM189</f>
        <v>181282.31982719121</v>
      </c>
      <c r="AN191" s="48">
        <f t="shared" si="169"/>
        <v>181533.55250166962</v>
      </c>
      <c r="AO191" s="48">
        <f t="shared" si="169"/>
        <v>181785.13335051376</v>
      </c>
      <c r="AP191" s="48">
        <f t="shared" si="169"/>
        <v>182037.06285624602</v>
      </c>
      <c r="AQ191" s="48">
        <f t="shared" si="169"/>
        <v>182289.3415020575</v>
      </c>
      <c r="AR191" s="48">
        <f t="shared" si="169"/>
        <v>182541.96977180894</v>
      </c>
      <c r="AS191" s="48">
        <f t="shared" si="169"/>
        <v>182794.94815003159</v>
      </c>
      <c r="AT191" s="48">
        <f t="shared" si="169"/>
        <v>183048.27712192832</v>
      </c>
      <c r="AU191" s="48">
        <f t="shared" si="169"/>
        <v>183301.95717337428</v>
      </c>
      <c r="AV191" s="48">
        <f t="shared" si="169"/>
        <v>183555.98879091805</v>
      </c>
      <c r="AW191" s="48">
        <f t="shared" si="169"/>
        <v>183810.37246178254</v>
      </c>
      <c r="AX191" s="48">
        <f t="shared" si="169"/>
        <v>184065.10867386582</v>
      </c>
      <c r="AY191" s="48">
        <f t="shared" si="169"/>
        <v>184320.19791574212</v>
      </c>
      <c r="AZ191" s="48">
        <f t="shared" si="169"/>
        <v>184575.64067666276</v>
      </c>
      <c r="BA191" s="48">
        <f t="shared" si="169"/>
        <v>184831.43744655719</v>
      </c>
      <c r="BB191" s="48">
        <f t="shared" si="169"/>
        <v>185087.5887160337</v>
      </c>
      <c r="BC191" s="48">
        <f t="shared" si="169"/>
        <v>185344.09497638061</v>
      </c>
      <c r="BD191" s="48">
        <f t="shared" si="169"/>
        <v>185600.95671956704</v>
      </c>
      <c r="BE191" s="48">
        <f t="shared" si="169"/>
        <v>185858.17443824396</v>
      </c>
      <c r="BF191" s="48">
        <f t="shared" si="169"/>
        <v>186115.74862574504</v>
      </c>
      <c r="BG191" s="48">
        <f t="shared" si="169"/>
        <v>186373.67977608758</v>
      </c>
      <c r="BH191" s="48">
        <f t="shared" si="169"/>
        <v>186631.9683839737</v>
      </c>
      <c r="BI191" s="48">
        <f t="shared" si="169"/>
        <v>186890.61494479093</v>
      </c>
      <c r="BJ191" s="48">
        <f t="shared" si="169"/>
        <v>187149.61995461347</v>
      </c>
      <c r="BK191" s="48">
        <f t="shared" si="169"/>
        <v>187408.98391020295</v>
      </c>
      <c r="BL191" s="57">
        <f t="shared" si="169"/>
        <v>187668.70730900939</v>
      </c>
    </row>
    <row r="192" spans="2:64" x14ac:dyDescent="0.25">
      <c r="B192" s="10" t="s">
        <v>80</v>
      </c>
      <c r="C192" s="11"/>
      <c r="D192" s="11"/>
      <c r="E192" s="11"/>
      <c r="F192" s="17" t="s">
        <v>61</v>
      </c>
      <c r="G192" s="33">
        <f>(G190/12)*G$16+IF('Customer Sector'!$F$59,G110,0)</f>
        <v>124.63385773311866</v>
      </c>
      <c r="H192" s="33">
        <f ca="1">(H190/12)*H$16+IF('Customer Sector'!$F$59,H110,0)</f>
        <v>130.20187192405862</v>
      </c>
      <c r="I192" s="33">
        <f ca="1">(I190/12)*I$16+IF('Customer Sector'!$F$59,I110,0)</f>
        <v>133.96653029101793</v>
      </c>
      <c r="J192" s="33">
        <f ca="1">(J190/12)*J$16+IF('Customer Sector'!$F$59,J110,0)</f>
        <v>137.99364289420072</v>
      </c>
      <c r="K192" s="33">
        <f ca="1">(K190/12)*K$16+IF('Customer Sector'!$F$59,K110,0)</f>
        <v>142.29945177311413</v>
      </c>
      <c r="L192" s="33">
        <f ca="1">(L190/12)*L$16+IF('Customer Sector'!$F$59,L110,0)</f>
        <v>146.90120868981543</v>
      </c>
      <c r="M192" s="33">
        <f ca="1">(M190/12)*M$16+IF('Customer Sector'!$F$59,M110,0)</f>
        <v>151.81723520743535</v>
      </c>
      <c r="N192" s="33">
        <f ca="1">(N190/12)*N$16+IF('Customer Sector'!$F$59,N110,0)</f>
        <v>157.06698577031659</v>
      </c>
      <c r="O192" s="33">
        <f ca="1">(O190/12)*O$16+IF('Customer Sector'!$F$59,O110,0)</f>
        <v>162.67111380565223</v>
      </c>
      <c r="P192" s="33">
        <f ca="1">(P190/12)*P$16+IF('Customer Sector'!$F$59,P110,0)</f>
        <v>168.65154082941123</v>
      </c>
      <c r="Q192" s="33">
        <f ca="1">(Q190/12)*Q$16+IF('Customer Sector'!$F$59,Q110,0)</f>
        <v>175.03152849041467</v>
      </c>
      <c r="R192" s="33">
        <f ca="1">(R190/12)*R$16+IF('Customer Sector'!$F$59,R110,0)</f>
        <v>181.67774445147612</v>
      </c>
      <c r="S192" s="33">
        <f ca="1">(S190/12)*S$16+IF('Customer Sector'!$F$59,S110,0)</f>
        <v>189.19829674867538</v>
      </c>
      <c r="T192" s="33">
        <f ca="1">(T190/12)*T$16+IF('Customer Sector'!$F$59,T110,0)</f>
        <v>197.23398896496903</v>
      </c>
      <c r="U192" s="33">
        <f ca="1">(U190/12)*U$16+IF('Customer Sector'!$F$59,U110,0)</f>
        <v>205.81845350396199</v>
      </c>
      <c r="V192" s="33">
        <f ca="1">(V190/12)*V$16+IF('Customer Sector'!$F$59,V110,0)</f>
        <v>214.9875526663098</v>
      </c>
      <c r="W192" s="33">
        <f ca="1">(W190/12)*W$16+IF('Customer Sector'!$F$59,W110,0)</f>
        <v>224.77952750942126</v>
      </c>
      <c r="X192" s="33">
        <f ca="1">(X190/12)*X$16+IF('Customer Sector'!$F$59,X110,0)</f>
        <v>235.23515669871071</v>
      </c>
      <c r="Y192" s="33">
        <f ca="1">(Y190/12)*Y$16+IF('Customer Sector'!$F$59,Y110,0)</f>
        <v>246.39792602401252</v>
      </c>
      <c r="Z192" s="33">
        <f ca="1">(Z190/12)*Z$16+IF('Customer Sector'!$F$59,Z110,0)</f>
        <v>258.31420930041583</v>
      </c>
      <c r="AA192" s="33">
        <f ca="1">(AA190/12)*AA$16+IF('Customer Sector'!$F$59,AA110,0)</f>
        <v>271.03346142153782</v>
      </c>
      <c r="AB192" s="33">
        <f ca="1">(AB190/12)*AB$16+IF('Customer Sector'!$F$59,AB110,0)</f>
        <v>284.60842438533376</v>
      </c>
      <c r="AC192" s="33">
        <f ca="1">(AC190/12)*AC$16+IF('Customer Sector'!$F$59,AC110,0)</f>
        <v>299.09534716817666</v>
      </c>
      <c r="AD192" s="33">
        <f ca="1">(AD190/12)*AD$16+IF('Customer Sector'!$F$59,AD110,0)</f>
        <v>314.55422038235122</v>
      </c>
      <c r="AE192" s="33">
        <f ca="1">(AE190/12)*AE$16+IF('Customer Sector'!$F$59,AE110,0)</f>
        <v>331.04902671559086</v>
      </c>
      <c r="AF192" s="33">
        <f ca="1">(AF190/12)*AF$16+IF('Customer Sector'!$F$59,AF110,0)</f>
        <v>348.64800821906061</v>
      </c>
      <c r="AH192" s="4" t="s">
        <v>278</v>
      </c>
      <c r="AI192" s="5"/>
      <c r="AJ192" s="5"/>
      <c r="AK192" s="5"/>
      <c r="AL192" s="12" t="s">
        <v>79</v>
      </c>
      <c r="AM192" s="41">
        <f t="shared" ref="AM192:BL192" si="170">AM61/AM189</f>
        <v>34.490547912327095</v>
      </c>
      <c r="AN192" s="41">
        <f t="shared" si="170"/>
        <v>34.359028050814203</v>
      </c>
      <c r="AO192" s="41">
        <f t="shared" si="170"/>
        <v>34.22682889686358</v>
      </c>
      <c r="AP192" s="41">
        <f t="shared" si="170"/>
        <v>34.093948131453288</v>
      </c>
      <c r="AQ192" s="41">
        <f t="shared" si="170"/>
        <v>33.960383428529148</v>
      </c>
      <c r="AR192" s="41">
        <f t="shared" si="170"/>
        <v>33.826132454984439</v>
      </c>
      <c r="AS192" s="41">
        <f t="shared" si="170"/>
        <v>33.691192870639483</v>
      </c>
      <c r="AT192" s="41">
        <f t="shared" si="170"/>
        <v>33.555562328221235</v>
      </c>
      <c r="AU192" s="41">
        <f t="shared" si="170"/>
        <v>33.419238473342752</v>
      </c>
      <c r="AV192" s="41">
        <f t="shared" si="170"/>
        <v>33.282218944482658</v>
      </c>
      <c r="AW192" s="41">
        <f t="shared" si="170"/>
        <v>33.144501372964513</v>
      </c>
      <c r="AX192" s="41">
        <f t="shared" si="170"/>
        <v>33.19043515035726</v>
      </c>
      <c r="AY192" s="41">
        <f t="shared" si="170"/>
        <v>33.236432585726995</v>
      </c>
      <c r="AZ192" s="41">
        <f t="shared" si="170"/>
        <v>33.282493767295016</v>
      </c>
      <c r="BA192" s="41">
        <f t="shared" si="170"/>
        <v>33.328618783404913</v>
      </c>
      <c r="BB192" s="41">
        <f t="shared" si="170"/>
        <v>33.374807722522682</v>
      </c>
      <c r="BC192" s="41">
        <f t="shared" si="170"/>
        <v>33.42106067323693</v>
      </c>
      <c r="BD192" s="41">
        <f t="shared" si="170"/>
        <v>33.46737772425903</v>
      </c>
      <c r="BE192" s="41">
        <f t="shared" si="170"/>
        <v>33.513758964423324</v>
      </c>
      <c r="BF192" s="41">
        <f t="shared" si="170"/>
        <v>33.560204482687233</v>
      </c>
      <c r="BG192" s="41">
        <f t="shared" si="170"/>
        <v>33.606714368131463</v>
      </c>
      <c r="BH192" s="41">
        <f t="shared" si="170"/>
        <v>33.653288709960201</v>
      </c>
      <c r="BI192" s="41">
        <f t="shared" si="170"/>
        <v>33.69992759750123</v>
      </c>
      <c r="BJ192" s="41">
        <f t="shared" si="170"/>
        <v>33.746631120206146</v>
      </c>
      <c r="BK192" s="41">
        <f t="shared" si="170"/>
        <v>33.793399367650501</v>
      </c>
      <c r="BL192" s="42">
        <f t="shared" si="170"/>
        <v>33.840232429534005</v>
      </c>
    </row>
    <row r="193" spans="1:64" x14ac:dyDescent="0.25">
      <c r="B193" s="10"/>
      <c r="C193" s="21" t="s">
        <v>69</v>
      </c>
      <c r="D193" s="21"/>
      <c r="E193" s="704"/>
      <c r="F193" s="50" t="s">
        <v>19</v>
      </c>
      <c r="G193" s="33">
        <f>(G191/12)*G24+IF('Customer Sector'!$F$59,G110,0)</f>
        <v>124.63385773311866</v>
      </c>
      <c r="H193" s="33">
        <f ca="1">(H191/12)*H24+IF('Customer Sector'!$F$59,H110,0)</f>
        <v>129.7711969403355</v>
      </c>
      <c r="I193" s="33">
        <f ca="1">(I191/12)*I24+IF('Customer Sector'!$F$59,I110,0)</f>
        <v>133.65968677224296</v>
      </c>
      <c r="J193" s="33">
        <f ca="1">(J191/12)*J24+IF('Customer Sector'!$F$59,J110,0)</f>
        <v>137.82776506222027</v>
      </c>
      <c r="K193" s="33">
        <f ca="1">(K191/12)*K24+IF('Customer Sector'!$F$59,K110,0)</f>
        <v>142.29349514824835</v>
      </c>
      <c r="L193" s="33">
        <f ca="1">(L191/12)*L24+IF('Customer Sector'!$F$59,L110,0)</f>
        <v>147.07613359655136</v>
      </c>
      <c r="M193" s="33">
        <f ca="1">(M191/12)*M24+IF('Customer Sector'!$F$59,M110,0)</f>
        <v>152.19620961889959</v>
      </c>
      <c r="N193" s="33">
        <f ca="1">(N191/12)*N24+IF('Customer Sector'!$F$59,N110,0)</f>
        <v>157.67560980942116</v>
      </c>
      <c r="O193" s="33">
        <f ca="1">(O191/12)*O24+IF('Customer Sector'!$F$59,O110,0)</f>
        <v>163.53766855874616</v>
      </c>
      <c r="P193" s="33">
        <f ca="1">(P191/12)*P24+IF('Customer Sector'!$F$59,P110,0)</f>
        <v>169.80726452746325</v>
      </c>
      <c r="Q193" s="33">
        <f ca="1">(Q191/12)*Q24+IF('Customer Sector'!$F$59,Q110,0)</f>
        <v>176.51092358666511</v>
      </c>
      <c r="R193" s="33">
        <f ca="1">(R191/12)*R24+IF('Customer Sector'!$F$59,R110,0)</f>
        <v>183.67692866090971</v>
      </c>
      <c r="S193" s="33">
        <f ca="1">(S191/12)*S24+IF('Customer Sector'!$F$59,S110,0)</f>
        <v>191.33543693835006</v>
      </c>
      <c r="T193" s="33">
        <f ca="1">(T191/12)*T24+IF('Customer Sector'!$F$59,T110,0)</f>
        <v>199.51860494421237</v>
      </c>
      <c r="U193" s="33">
        <f ca="1">(U191/12)*U24+IF('Customer Sector'!$F$59,U110,0)</f>
        <v>208.26072200737192</v>
      </c>
      <c r="V193" s="33">
        <f ca="1">(V191/12)*V24+IF('Customer Sector'!$F$59,V110,0)</f>
        <v>217.5983526856302</v>
      </c>
      <c r="W193" s="33">
        <f ca="1">(W191/12)*W24+IF('Customer Sector'!$F$59,W110,0)</f>
        <v>227.5704887535949</v>
      </c>
      <c r="X193" s="33">
        <f ca="1">(X191/12)*X24+IF('Customer Sector'!$F$59,X110,0)</f>
        <v>238.21871139797378</v>
      </c>
      <c r="Y193" s="33">
        <f ca="1">(Y191/12)*Y24+IF('Customer Sector'!$F$59,Y110,0)</f>
        <v>249.58736430878906</v>
      </c>
      <c r="Z193" s="33">
        <f ca="1">(Z191/12)*Z24+IF('Customer Sector'!$F$59,Z110,0)</f>
        <v>261.72373840169587</v>
      </c>
      <c r="AA193" s="33">
        <f ca="1">(AA191/12)*AA24+IF('Customer Sector'!$F$59,AA110,0)</f>
        <v>274.67826895644509</v>
      </c>
      <c r="AB193" s="33">
        <f ca="1">(AB191/12)*AB24+IF('Customer Sector'!$F$59,AB110,0)</f>
        <v>288.50474600978612</v>
      </c>
      <c r="AC193" s="33">
        <f ca="1">(AC191/12)*AC24+IF('Customer Sector'!$F$59,AC110,0)</f>
        <v>303.26053889799476</v>
      </c>
      <c r="AD193" s="33">
        <f ca="1">(AD191/12)*AD24+IF('Customer Sector'!$F$59,AD110,0)</f>
        <v>319.00683590496834</v>
      </c>
      <c r="AE193" s="33">
        <f ca="1">(AE191/12)*AE24+IF('Customer Sector'!$F$59,AE110,0)</f>
        <v>335.80890003674455</v>
      </c>
      <c r="AF193" s="33">
        <f ca="1">(AF191/12)*AF24+IF('Customer Sector'!$F$59,AF110,0)</f>
        <v>353.73634201261353</v>
      </c>
      <c r="AH193" s="4"/>
      <c r="AI193" s="5" t="s">
        <v>279</v>
      </c>
      <c r="AJ193" s="5"/>
      <c r="AK193" s="5"/>
      <c r="AL193" s="12" t="s">
        <v>19</v>
      </c>
      <c r="AM193" s="41">
        <f t="shared" ref="AM193:BL193" si="171">AM60/AM189</f>
        <v>34.490547912327095</v>
      </c>
      <c r="AN193" s="41">
        <f t="shared" si="171"/>
        <v>34.538347127410503</v>
      </c>
      <c r="AO193" s="41">
        <f t="shared" si="171"/>
        <v>34.586212585714186</v>
      </c>
      <c r="AP193" s="41">
        <f t="shared" si="171"/>
        <v>34.634144379042247</v>
      </c>
      <c r="AQ193" s="41">
        <f t="shared" si="171"/>
        <v>34.682142599326014</v>
      </c>
      <c r="AR193" s="41">
        <f t="shared" si="171"/>
        <v>34.730207338624233</v>
      </c>
      <c r="AS193" s="41">
        <f t="shared" si="171"/>
        <v>34.778338689123217</v>
      </c>
      <c r="AT193" s="41">
        <f t="shared" si="171"/>
        <v>34.826536743137055</v>
      </c>
      <c r="AU193" s="41">
        <f t="shared" si="171"/>
        <v>34.87480159310774</v>
      </c>
      <c r="AV193" s="41">
        <f t="shared" si="171"/>
        <v>34.92313333160542</v>
      </c>
      <c r="AW193" s="41">
        <f t="shared" si="171"/>
        <v>34.971532051328495</v>
      </c>
      <c r="AX193" s="41">
        <f t="shared" si="171"/>
        <v>35.019997845103852</v>
      </c>
      <c r="AY193" s="41">
        <f t="shared" si="171"/>
        <v>35.068530805887015</v>
      </c>
      <c r="AZ193" s="41">
        <f t="shared" si="171"/>
        <v>35.11713102676233</v>
      </c>
      <c r="BA193" s="41">
        <f t="shared" si="171"/>
        <v>35.165798600943155</v>
      </c>
      <c r="BB193" s="41">
        <f t="shared" si="171"/>
        <v>35.214533621772027</v>
      </c>
      <c r="BC193" s="41">
        <f t="shared" si="171"/>
        <v>35.263336182720828</v>
      </c>
      <c r="BD193" s="41">
        <f t="shared" si="171"/>
        <v>35.312206377391007</v>
      </c>
      <c r="BE193" s="41">
        <f t="shared" si="171"/>
        <v>35.361144299513711</v>
      </c>
      <c r="BF193" s="41">
        <f t="shared" si="171"/>
        <v>35.410150042949979</v>
      </c>
      <c r="BG193" s="41">
        <f t="shared" si="171"/>
        <v>35.459223701690952</v>
      </c>
      <c r="BH193" s="41">
        <f t="shared" si="171"/>
        <v>35.508365369858019</v>
      </c>
      <c r="BI193" s="41">
        <f t="shared" si="171"/>
        <v>35.557575141703005</v>
      </c>
      <c r="BJ193" s="41">
        <f t="shared" si="171"/>
        <v>35.606853111608359</v>
      </c>
      <c r="BK193" s="41">
        <f t="shared" si="171"/>
        <v>35.656199374087329</v>
      </c>
      <c r="BL193" s="42">
        <f t="shared" si="171"/>
        <v>35.705614023784143</v>
      </c>
    </row>
    <row r="194" spans="1:64" x14ac:dyDescent="0.25">
      <c r="B194" s="10"/>
      <c r="C194" s="21" t="s">
        <v>112</v>
      </c>
      <c r="D194" s="21"/>
      <c r="F194" s="50" t="s">
        <v>229</v>
      </c>
      <c r="G194" s="129">
        <f>(G192-G$193)/G$193</f>
        <v>0</v>
      </c>
      <c r="H194" s="129">
        <f ca="1">(H192-H$193)/H$193</f>
        <v>3.3187255252113642E-3</v>
      </c>
      <c r="I194" s="129">
        <f t="shared" ref="I194:AF194" ca="1" si="172">(I192-I193)/I193</f>
        <v>2.2957073010191325E-3</v>
      </c>
      <c r="J194" s="129">
        <f t="shared" ca="1" si="172"/>
        <v>1.2035153577769292E-3</v>
      </c>
      <c r="K194" s="129">
        <f t="shared" ca="1" si="172"/>
        <v>4.1861540188949783E-5</v>
      </c>
      <c r="L194" s="129">
        <f t="shared" ca="1" si="172"/>
        <v>-1.1893493693257249E-3</v>
      </c>
      <c r="M194" s="129">
        <f t="shared" ca="1" si="172"/>
        <v>-2.4900384340266844E-3</v>
      </c>
      <c r="N194" s="129">
        <f t="shared" ca="1" si="172"/>
        <v>-3.8599758062784657E-3</v>
      </c>
      <c r="O194" s="129">
        <f t="shared" ca="1" si="172"/>
        <v>-5.2988082851545097E-3</v>
      </c>
      <c r="P194" s="129">
        <f t="shared" ca="1" si="172"/>
        <v>-6.8060910189451703E-3</v>
      </c>
      <c r="Q194" s="129">
        <f t="shared" ca="1" si="172"/>
        <v>-8.3813231849306728E-3</v>
      </c>
      <c r="R194" s="129">
        <f t="shared" ca="1" si="172"/>
        <v>-1.088424237060461E-2</v>
      </c>
      <c r="S194" s="129">
        <f t="shared" ca="1" si="172"/>
        <v>-1.1169599442069307E-2</v>
      </c>
      <c r="T194" s="129">
        <f t="shared" ca="1" si="172"/>
        <v>-1.1450641306770089E-2</v>
      </c>
      <c r="U194" s="129">
        <f t="shared" ca="1" si="172"/>
        <v>-1.1726976070521278E-2</v>
      </c>
      <c r="V194" s="129">
        <f t="shared" ca="1" si="172"/>
        <v>-1.1998252684809136E-2</v>
      </c>
      <c r="W194" s="129">
        <f t="shared" ca="1" si="172"/>
        <v>-1.2264161576748188E-2</v>
      </c>
      <c r="X194" s="129">
        <f t="shared" ca="1" si="172"/>
        <v>-1.2524434716963398E-2</v>
      </c>
      <c r="Y194" s="129">
        <f t="shared" ca="1" si="172"/>
        <v>-1.277884516954382E-2</v>
      </c>
      <c r="Z194" s="129">
        <f t="shared" ca="1" si="172"/>
        <v>-1.3027206175876443E-2</v>
      </c>
      <c r="AA194" s="129">
        <f t="shared" ca="1" si="172"/>
        <v>-1.3269369829490292E-2</v>
      </c>
      <c r="AB194" s="129">
        <f t="shared" ca="1" si="172"/>
        <v>-1.3505225402150546E-2</v>
      </c>
      <c r="AC194" s="129">
        <f t="shared" ca="1" si="172"/>
        <v>-1.3734697382500912E-2</v>
      </c>
      <c r="AD194" s="129">
        <f t="shared" ca="1" si="172"/>
        <v>-1.3957743287807006E-2</v>
      </c>
      <c r="AE194" s="129">
        <f t="shared" ca="1" si="172"/>
        <v>-1.4174351307046541E-2</v>
      </c>
      <c r="AF194" s="244">
        <f t="shared" ca="1" si="172"/>
        <v>-1.4384537830075372E-2</v>
      </c>
      <c r="AH194" s="10" t="s">
        <v>80</v>
      </c>
      <c r="AI194" s="11"/>
      <c r="AJ194" s="11"/>
      <c r="AK194" s="11"/>
      <c r="AL194" s="17" t="s">
        <v>61</v>
      </c>
      <c r="AM194" s="115">
        <f>(AM190/12)*AM$16+AM192*AM29+IF('Customer Sector'!$L$59,AM110,0)</f>
        <v>1278.9784976849135</v>
      </c>
      <c r="AN194" s="115">
        <f ca="1">(AN190/12)*AN$16+AN192*AN29+IF('Customer Sector'!$L$59,AN110,0)</f>
        <v>1336.3455902134647</v>
      </c>
      <c r="AO194" s="115">
        <f ca="1">(AO190/12)*AO$16+AO192*AO29+IF('Customer Sector'!$L$59,AO110,0)</f>
        <v>1380.1722766918892</v>
      </c>
      <c r="AP194" s="115">
        <f ca="1">(AP190/12)*AP$16+AP192*AP29+IF('Customer Sector'!$L$59,AP110,0)</f>
        <v>1426.6975800034133</v>
      </c>
      <c r="AQ194" s="115">
        <f ca="1">(AQ190/12)*AQ$16+AQ192*AQ29+IF('Customer Sector'!$L$59,AQ110,0)</f>
        <v>1476.040452816095</v>
      </c>
      <c r="AR194" s="115">
        <f ca="1">(AR190/12)*AR$16+AR192*AR29+IF('Customer Sector'!$L$59,AR110,0)</f>
        <v>1528.3211666254347</v>
      </c>
      <c r="AS194" s="115">
        <f ca="1">(AS190/12)*AS$16+AS192*AS29+IF('Customer Sector'!$L$59,AS110,0)</f>
        <v>1583.6606043715387</v>
      </c>
      <c r="AT194" s="115">
        <f ca="1">(AT190/12)*AT$16+AT192*AT29+IF('Customer Sector'!$L$59,AT110,0)</f>
        <v>1642.1794082951651</v>
      </c>
      <c r="AU194" s="115">
        <f ca="1">(AU190/12)*AU$16+AU192*AU29+IF('Customer Sector'!$L$59,AU110,0)</f>
        <v>1703.9969612839395</v>
      </c>
      <c r="AV194" s="115">
        <f ca="1">(AV190/12)*AV$16+AV192*AV29+IF('Customer Sector'!$L$59,AV110,0)</f>
        <v>1769.2301770045319</v>
      </c>
      <c r="AW194" s="115">
        <f ca="1">(AW190/12)*AW$16+AW192*AW29+IF('Customer Sector'!$L$59,AW110,0)</f>
        <v>1837.992070776404</v>
      </c>
      <c r="AX194" s="115">
        <f ca="1">(AX190/12)*AX$16+AX192*AX29+IF('Customer Sector'!$L$59,AX110,0)</f>
        <v>1920.3074652907155</v>
      </c>
      <c r="AY194" s="115">
        <f ca="1">(AY190/12)*AY$16+AY192*AY29+IF('Customer Sector'!$L$59,AY110,0)</f>
        <v>2009.9044919534936</v>
      </c>
      <c r="AZ194" s="115">
        <f ca="1">(AZ190/12)*AZ$16+AZ192*AZ29+IF('Customer Sector'!$L$59,AZ110,0)</f>
        <v>2105.4625863165493</v>
      </c>
      <c r="BA194" s="115">
        <f ca="1">(BA190/12)*BA$16+BA192*BA29+IF('Customer Sector'!$L$59,BA110,0)</f>
        <v>2207.3651910627013</v>
      </c>
      <c r="BB194" s="115">
        <f ca="1">(BB190/12)*BB$16+BB192*BB29+IF('Customer Sector'!$L$59,BB110,0)</f>
        <v>2316.0206409473744</v>
      </c>
      <c r="BC194" s="115">
        <f ca="1">(BC190/12)*BC$16+BC192*BC29+IF('Customer Sector'!$L$59,BC110,0)</f>
        <v>2431.8637845574799</v>
      </c>
      <c r="BD194" s="115">
        <f ca="1">(BD190/12)*BD$16+BD192*BD29+IF('Customer Sector'!$L$59,BD110,0)</f>
        <v>2555.3577120378864</v>
      </c>
      <c r="BE194" s="115">
        <f ca="1">(BE190/12)*BE$16+BE192*BE29+IF('Customer Sector'!$L$59,BE110,0)</f>
        <v>2686.9955957258926</v>
      </c>
      <c r="BF194" s="115">
        <f ca="1">(BF190/12)*BF$16+BF192*BF29+IF('Customer Sector'!$L$59,BF110,0)</f>
        <v>2827.3026510899863</v>
      </c>
      <c r="BG194" s="115">
        <f ca="1">(BG190/12)*BG$16+BG192*BG29+IF('Customer Sector'!$L$59,BG110,0)</f>
        <v>2976.8382258551983</v>
      </c>
      <c r="BH194" s="115">
        <f ca="1">(BH190/12)*BH$16+BH192*BH29+IF('Customer Sector'!$L$59,BH110,0)</f>
        <v>3136.1980257152636</v>
      </c>
      <c r="BI194" s="115">
        <f ca="1">(BI190/12)*BI$16+BI192*BI29+IF('Customer Sector'!$L$59,BI110,0)</f>
        <v>3306.016485584003</v>
      </c>
      <c r="BJ194" s="115">
        <f ca="1">(BJ190/12)*BJ$16+BJ192*BJ29+IF('Customer Sector'!$L$59,BJ110,0)</f>
        <v>3486.9692959267963</v>
      </c>
      <c r="BK194" s="115">
        <f ca="1">(BK190/12)*BK$16+BK192*BK29+IF('Customer Sector'!$L$59,BK110,0)</f>
        <v>3679.776094340391</v>
      </c>
      <c r="BL194" s="115">
        <f ca="1">(BL190/12)*BL$16+BL192*BL29+IF('Customer Sector'!$L$59,BL110,0)</f>
        <v>3885.2033332178216</v>
      </c>
    </row>
    <row r="195" spans="1:64" x14ac:dyDescent="0.25">
      <c r="B195" s="740" t="s">
        <v>100</v>
      </c>
      <c r="C195" s="741"/>
      <c r="D195" s="741"/>
      <c r="E195" s="741"/>
      <c r="F195" s="741"/>
      <c r="G195" s="741"/>
      <c r="H195" s="741"/>
      <c r="I195" s="741"/>
      <c r="J195" s="741"/>
      <c r="K195" s="741"/>
      <c r="L195" s="741"/>
      <c r="M195" s="213"/>
      <c r="N195" s="213"/>
      <c r="O195" s="213"/>
      <c r="P195" s="213"/>
      <c r="Q195" s="214"/>
      <c r="R195" s="63"/>
      <c r="S195" s="64"/>
      <c r="T195" s="64"/>
      <c r="U195" s="64"/>
      <c r="V195" s="64"/>
      <c r="W195" s="64"/>
      <c r="X195" s="64"/>
      <c r="Y195" s="64"/>
      <c r="Z195" s="64"/>
      <c r="AA195" s="64"/>
      <c r="AB195" s="64"/>
      <c r="AC195" s="64"/>
      <c r="AD195" s="64"/>
      <c r="AE195" s="64"/>
      <c r="AF195" s="64"/>
      <c r="AH195" s="10"/>
      <c r="AI195" s="21" t="s">
        <v>69</v>
      </c>
      <c r="AJ195" s="21"/>
      <c r="AK195" s="704"/>
      <c r="AL195" s="50" t="s">
        <v>19</v>
      </c>
      <c r="AM195" s="115">
        <f>(AM191/12)*AM24+AM193*AM29+IF('Customer Sector'!$L$59,AM110,0)</f>
        <v>1278.9784976849135</v>
      </c>
      <c r="AN195" s="115">
        <f ca="1">(AN191/12)*AN24+AN193*AN29+IF('Customer Sector'!$L$59,AN110,0)</f>
        <v>1337.3284672530403</v>
      </c>
      <c r="AO195" s="115">
        <f ca="1">(AO191/12)*AO24+AO193*AO29+IF('Customer Sector'!$L$59,AO110,0)</f>
        <v>1386.488900036381</v>
      </c>
      <c r="AP195" s="115">
        <f ca="1">(AP191/12)*AP24+AP193*AP29+IF('Customer Sector'!$L$59,AP110,0)</f>
        <v>1439.0266954359815</v>
      </c>
      <c r="AQ195" s="115">
        <f ca="1">(AQ191/12)*AQ24+AQ193*AQ29+IF('Customer Sector'!$L$59,AQ110,0)</f>
        <v>1495.1578224705447</v>
      </c>
      <c r="AR195" s="115">
        <f ca="1">(AR191/12)*AR24+AR193*AR29+IF('Customer Sector'!$L$59,AR110,0)</f>
        <v>1555.1122476983699</v>
      </c>
      <c r="AS195" s="115">
        <f ca="1">(AS191/12)*AS24+AS193*AS29+IF('Customer Sector'!$L$59,AS110,0)</f>
        <v>1619.1348459729188</v>
      </c>
      <c r="AT195" s="115">
        <f ca="1">(AT191/12)*AT24+AT193*AT29+IF('Customer Sector'!$L$59,AT110,0)</f>
        <v>1687.4863706582282</v>
      </c>
      <c r="AU195" s="115">
        <f ca="1">(AU191/12)*AU24+AU193*AU29+IF('Customer Sector'!$L$59,AU110,0)</f>
        <v>1760.4444871945852</v>
      </c>
      <c r="AV195" s="115">
        <f ca="1">(AV191/12)*AV24+AV193*AV29+IF('Customer Sector'!$L$59,AV110,0)</f>
        <v>1838.3048741599109</v>
      </c>
      <c r="AW195" s="115">
        <f ca="1">(AW191/12)*AW24+AW193*AW29+IF('Customer Sector'!$L$59,AW110,0)</f>
        <v>1921.3823962440711</v>
      </c>
      <c r="AX195" s="115">
        <f ca="1">(AX191/12)*AX24+AX193*AX29+IF('Customer Sector'!$L$59,AX110,0)</f>
        <v>2010.0123538430269</v>
      </c>
      <c r="AY195" s="115">
        <f ca="1">(AY191/12)*AY24+AY193*AY29+IF('Customer Sector'!$L$59,AY110,0)</f>
        <v>2104.5518142884921</v>
      </c>
      <c r="AZ195" s="115">
        <f ca="1">(AZ191/12)*AZ24+AZ193*AZ29+IF('Customer Sector'!$L$59,AZ110,0)</f>
        <v>2205.3810300578771</v>
      </c>
      <c r="BA195" s="115">
        <f ca="1">(BA191/12)*BA24+BA193*BA29+IF('Customer Sector'!$L$59,BA110,0)</f>
        <v>2312.9049496600719</v>
      </c>
      <c r="BB195" s="115">
        <f ca="1">(BB191/12)*BB24+BB193*BB29+IF('Customer Sector'!$L$59,BB110,0)</f>
        <v>2427.554827266531</v>
      </c>
      <c r="BC195" s="115">
        <f ca="1">(BC191/12)*BC24+BC193*BC29+IF('Customer Sector'!$L$59,BC110,0)</f>
        <v>2549.7899375556863</v>
      </c>
      <c r="BD195" s="115">
        <f ca="1">(BD191/12)*BD24+BD193*BD29+IF('Customer Sector'!$L$59,BD110,0)</f>
        <v>2680.0994026635281</v>
      </c>
      <c r="BE195" s="115">
        <f ca="1">(BE191/12)*BE24+BE193*BE29+IF('Customer Sector'!$L$59,BE110,0)</f>
        <v>2819.0041385860522</v>
      </c>
      <c r="BF195" s="115">
        <f ca="1">(BF191/12)*BF24+BF193*BF29+IF('Customer Sector'!$L$59,BF110,0)</f>
        <v>2967.0589288619494</v>
      </c>
      <c r="BG195" s="115">
        <f ca="1">(BG191/12)*BG24+BG193*BG29+IF('Customer Sector'!$L$59,BG110,0)</f>
        <v>3124.8546338784649</v>
      </c>
      <c r="BH195" s="115">
        <f ca="1">(BH191/12)*BH24+BH193*BH29+IF('Customer Sector'!$L$59,BH110,0)</f>
        <v>3293.0205446917716</v>
      </c>
      <c r="BI195" s="115">
        <f ca="1">(BI191/12)*BI24+BI193*BI29+IF('Customer Sector'!$L$59,BI110,0)</f>
        <v>3472.2268908378392</v>
      </c>
      <c r="BJ195" s="115">
        <f ca="1">(BJ191/12)*BJ24+BJ193*BJ29+IF('Customer Sector'!$L$59,BJ110,0)</f>
        <v>3663.1875122329002</v>
      </c>
      <c r="BK195" s="115">
        <f ca="1">(BK191/12)*BK24+BK193*BK29+IF('Customer Sector'!$L$59,BK110,0)</f>
        <v>3866.6627059268662</v>
      </c>
      <c r="BL195" s="115">
        <f ca="1">(BL191/12)*BL24+BL193*BL29+IF('Customer Sector'!$L$59,BL110,0)</f>
        <v>4083.4622591810075</v>
      </c>
    </row>
    <row r="196" spans="1:64" x14ac:dyDescent="0.25">
      <c r="B196" s="120" t="s">
        <v>103</v>
      </c>
      <c r="C196" s="125"/>
      <c r="D196" s="125"/>
      <c r="E196" s="125"/>
      <c r="F196" s="109" t="s">
        <v>58</v>
      </c>
      <c r="G196" s="126">
        <v>0</v>
      </c>
      <c r="H196" s="110">
        <f>SUM($G$197:H197)</f>
        <v>65559</v>
      </c>
      <c r="I196" s="110">
        <f>SUM($G$197:I197)</f>
        <v>131773.59</v>
      </c>
      <c r="J196" s="110">
        <f>SUM($G$197:J197)</f>
        <v>198650.3259</v>
      </c>
      <c r="K196" s="110">
        <f>SUM($G$197:K197)</f>
        <v>266195.82915900002</v>
      </c>
      <c r="L196" s="110">
        <f>SUM($G$197:L197)</f>
        <v>334416.78745059005</v>
      </c>
      <c r="M196" s="110">
        <f>SUM($G$197:M197)</f>
        <v>403319.95532509597</v>
      </c>
      <c r="N196" s="110">
        <f>SUM($G$197:N197)</f>
        <v>472912.15487834695</v>
      </c>
      <c r="O196" s="110">
        <f>SUM($G$197:O197)</f>
        <v>543200.27642713045</v>
      </c>
      <c r="P196" s="110">
        <f>SUM($G$197:P197)</f>
        <v>614191.27919140179</v>
      </c>
      <c r="Q196" s="110">
        <f>SUM($G$197:Q197)</f>
        <v>685892.19198331586</v>
      </c>
      <c r="R196" s="110">
        <f>SUM($G$197:R197)</f>
        <v>685892.19198331586</v>
      </c>
      <c r="S196" s="110">
        <f>SUM($G$197:S197)</f>
        <v>685892.19198331586</v>
      </c>
      <c r="T196" s="110">
        <f>SUM($G$197:T197)</f>
        <v>685892.19198331586</v>
      </c>
      <c r="U196" s="110">
        <f>SUM($G$197:U197)</f>
        <v>685892.19198331586</v>
      </c>
      <c r="V196" s="110">
        <f>SUM($G$197:V197)</f>
        <v>685892.19198331586</v>
      </c>
      <c r="W196" s="110">
        <f>SUM($G$197:W197)</f>
        <v>685892.19198331586</v>
      </c>
      <c r="X196" s="110">
        <f>SUM($G$197:X197)</f>
        <v>685892.19198331586</v>
      </c>
      <c r="Y196" s="110">
        <f>SUM($G$197:Y197)</f>
        <v>685892.19198331586</v>
      </c>
      <c r="Z196" s="110">
        <f>SUM($G$197:Z197)</f>
        <v>685892.19198331586</v>
      </c>
      <c r="AA196" s="110">
        <f>SUM($G$197:AA197)</f>
        <v>685892.19198331586</v>
      </c>
      <c r="AB196" s="110">
        <f>SUM($G$197:AB197)</f>
        <v>685892.19198331586</v>
      </c>
      <c r="AC196" s="110">
        <f>SUM($G$197:AC197)</f>
        <v>685892.19198331586</v>
      </c>
      <c r="AD196" s="110">
        <f>SUM($G$197:AD197)</f>
        <v>685892.19198331586</v>
      </c>
      <c r="AE196" s="110">
        <f>SUM($G$197:AE197)</f>
        <v>685892.19198331586</v>
      </c>
      <c r="AF196" s="111">
        <f>SUM($G$197:AF197)</f>
        <v>685892.19198331586</v>
      </c>
      <c r="AH196" s="10"/>
      <c r="AI196" s="21" t="s">
        <v>112</v>
      </c>
      <c r="AJ196" s="21"/>
      <c r="AL196" s="50" t="s">
        <v>229</v>
      </c>
      <c r="AM196" s="129">
        <f>(AM194-AM$195)/AM$195</f>
        <v>0</v>
      </c>
      <c r="AN196" s="129">
        <f ca="1">(AN194-AN$195)/AN$195</f>
        <v>-7.349555951609724E-4</v>
      </c>
      <c r="AO196" s="129">
        <f t="shared" ref="AO196:BL196" ca="1" si="173">(AO194-AO195)/AO195</f>
        <v>-4.5558412651742104E-3</v>
      </c>
      <c r="AP196" s="129">
        <f t="shared" ca="1" si="173"/>
        <v>-8.5676766606701746E-3</v>
      </c>
      <c r="AQ196" s="129">
        <f t="shared" ca="1" si="173"/>
        <v>-1.278618843250999E-2</v>
      </c>
      <c r="AR196" s="129">
        <f t="shared" ca="1" si="173"/>
        <v>-1.7227747458479017E-2</v>
      </c>
      <c r="AS196" s="129">
        <f t="shared" ca="1" si="173"/>
        <v>-2.1909380611263431E-2</v>
      </c>
      <c r="AT196" s="129">
        <f t="shared" ca="1" si="173"/>
        <v>-2.6848787137398029E-2</v>
      </c>
      <c r="AU196" s="129">
        <f t="shared" ca="1" si="173"/>
        <v>-3.2064360064315088E-2</v>
      </c>
      <c r="AV196" s="129">
        <f t="shared" ca="1" si="173"/>
        <v>-3.7575212972736922E-2</v>
      </c>
      <c r="AW196" s="129">
        <f t="shared" ca="1" si="173"/>
        <v>-4.340121239305559E-2</v>
      </c>
      <c r="AX196" s="129">
        <f t="shared" ca="1" si="173"/>
        <v>-4.4629023488736673E-2</v>
      </c>
      <c r="AY196" s="129">
        <f t="shared" ca="1" si="173"/>
        <v>-4.4972673845522282E-2</v>
      </c>
      <c r="AZ196" s="129">
        <f t="shared" ca="1" si="173"/>
        <v>-4.5306657842570437E-2</v>
      </c>
      <c r="BA196" s="129">
        <f t="shared" ca="1" si="173"/>
        <v>-4.5630823961391828E-2</v>
      </c>
      <c r="BB196" s="129">
        <f t="shared" ca="1" si="173"/>
        <v>-4.594507405822261E-2</v>
      </c>
      <c r="BC196" s="129">
        <f t="shared" ca="1" si="173"/>
        <v>-4.6249360098759469E-2</v>
      </c>
      <c r="BD196" s="129">
        <f t="shared" ca="1" si="173"/>
        <v>-4.6543680619334976E-2</v>
      </c>
      <c r="BE196" s="129">
        <f t="shared" ca="1" si="173"/>
        <v>-4.682807699827362E-2</v>
      </c>
      <c r="BF196" s="129">
        <f t="shared" ca="1" si="173"/>
        <v>-4.7102629614966335E-2</v>
      </c>
      <c r="BG196" s="129">
        <f t="shared" ca="1" si="173"/>
        <v>-4.7367453966827774E-2</v>
      </c>
      <c r="BH196" s="129">
        <f t="shared" ca="1" si="173"/>
        <v>-4.76226968062195E-2</v>
      </c>
      <c r="BI196" s="129">
        <f t="shared" ca="1" si="173"/>
        <v>-4.7868532350928833E-2</v>
      </c>
      <c r="BJ196" s="129">
        <f t="shared" ca="1" si="173"/>
        <v>-4.8105158613267335E-2</v>
      </c>
      <c r="BK196" s="129">
        <f t="shared" ca="1" si="173"/>
        <v>-4.8332793884507508E-2</v>
      </c>
      <c r="BL196" s="244">
        <f t="shared" ca="1" si="173"/>
        <v>-4.8551673403478289E-2</v>
      </c>
    </row>
    <row r="197" spans="1:64" x14ac:dyDescent="0.25">
      <c r="B197" s="18"/>
      <c r="C197" s="19" t="s">
        <v>104</v>
      </c>
      <c r="D197" s="19"/>
      <c r="E197" s="19"/>
      <c r="F197" s="17" t="s">
        <v>19</v>
      </c>
      <c r="G197" s="46">
        <v>0</v>
      </c>
      <c r="H197" s="39">
        <f t="shared" ref="H197:AF197" si="174">H184</f>
        <v>65559</v>
      </c>
      <c r="I197" s="39">
        <f t="shared" si="174"/>
        <v>66214.59</v>
      </c>
      <c r="J197" s="39">
        <f t="shared" si="174"/>
        <v>66876.7359</v>
      </c>
      <c r="K197" s="39">
        <f t="shared" si="174"/>
        <v>67545.503259000005</v>
      </c>
      <c r="L197" s="39">
        <f t="shared" si="174"/>
        <v>68220.95829159001</v>
      </c>
      <c r="M197" s="39">
        <f t="shared" si="174"/>
        <v>68903.167874505918</v>
      </c>
      <c r="N197" s="39">
        <f t="shared" si="174"/>
        <v>69592.199553250975</v>
      </c>
      <c r="O197" s="39">
        <f t="shared" si="174"/>
        <v>70288.121548783485</v>
      </c>
      <c r="P197" s="39">
        <f t="shared" si="174"/>
        <v>70991.002764271325</v>
      </c>
      <c r="Q197" s="39">
        <f t="shared" si="174"/>
        <v>71700.912791914045</v>
      </c>
      <c r="R197" s="39">
        <f t="shared" si="174"/>
        <v>0</v>
      </c>
      <c r="S197" s="39">
        <f t="shared" si="174"/>
        <v>0</v>
      </c>
      <c r="T197" s="39">
        <f t="shared" si="174"/>
        <v>0</v>
      </c>
      <c r="U197" s="39">
        <f t="shared" si="174"/>
        <v>0</v>
      </c>
      <c r="V197" s="39">
        <f t="shared" si="174"/>
        <v>0</v>
      </c>
      <c r="W197" s="39">
        <f t="shared" si="174"/>
        <v>0</v>
      </c>
      <c r="X197" s="39">
        <f t="shared" si="174"/>
        <v>0</v>
      </c>
      <c r="Y197" s="39">
        <f t="shared" si="174"/>
        <v>0</v>
      </c>
      <c r="Z197" s="39">
        <f t="shared" si="174"/>
        <v>0</v>
      </c>
      <c r="AA197" s="39">
        <f t="shared" si="174"/>
        <v>0</v>
      </c>
      <c r="AB197" s="39">
        <f t="shared" si="174"/>
        <v>0</v>
      </c>
      <c r="AC197" s="39">
        <f t="shared" si="174"/>
        <v>0</v>
      </c>
      <c r="AD197" s="39">
        <f t="shared" si="174"/>
        <v>0</v>
      </c>
      <c r="AE197" s="39">
        <f t="shared" si="174"/>
        <v>0</v>
      </c>
      <c r="AF197" s="40">
        <f t="shared" si="174"/>
        <v>0</v>
      </c>
      <c r="AH197" s="740" t="s">
        <v>100</v>
      </c>
      <c r="AI197" s="741"/>
      <c r="AJ197" s="741"/>
      <c r="AK197" s="741"/>
      <c r="AL197" s="741"/>
      <c r="AM197" s="741"/>
      <c r="AN197" s="741"/>
      <c r="AO197" s="741"/>
      <c r="AP197" s="741"/>
      <c r="AQ197" s="741"/>
      <c r="AR197" s="741"/>
      <c r="AS197" s="213"/>
      <c r="AT197" s="213"/>
      <c r="AU197" s="213"/>
      <c r="AV197" s="213"/>
      <c r="AW197" s="214"/>
      <c r="AX197" s="63"/>
      <c r="AY197" s="64"/>
      <c r="AZ197" s="64"/>
      <c r="BA197" s="64"/>
      <c r="BB197" s="64"/>
      <c r="BC197" s="64"/>
      <c r="BD197" s="64"/>
      <c r="BE197" s="64"/>
      <c r="BF197" s="64"/>
      <c r="BG197" s="64"/>
      <c r="BH197" s="64"/>
      <c r="BI197" s="64"/>
      <c r="BJ197" s="64"/>
      <c r="BK197" s="64"/>
      <c r="BL197" s="64"/>
    </row>
    <row r="198" spans="1:64" x14ac:dyDescent="0.25">
      <c r="B198" s="18" t="s">
        <v>105</v>
      </c>
      <c r="C198" s="19"/>
      <c r="D198" s="19"/>
      <c r="E198" s="19"/>
      <c r="F198" s="17" t="s">
        <v>19</v>
      </c>
      <c r="G198" s="118">
        <f>G189</f>
        <v>2062040</v>
      </c>
      <c r="H198" s="118">
        <f t="shared" ref="H198:AF198" si="175">H189-H196</f>
        <v>2017513.808</v>
      </c>
      <c r="I198" s="118">
        <f t="shared" si="175"/>
        <v>1972546.5606416001</v>
      </c>
      <c r="J198" s="118">
        <f t="shared" si="175"/>
        <v>1927133.8902781443</v>
      </c>
      <c r="K198" s="118">
        <f t="shared" si="175"/>
        <v>1881271.3860241612</v>
      </c>
      <c r="L198" s="118">
        <f t="shared" si="175"/>
        <v>1834954.5933274394</v>
      </c>
      <c r="M198" s="118">
        <f t="shared" si="175"/>
        <v>1788179.0135368695</v>
      </c>
      <c r="N198" s="118">
        <f t="shared" si="175"/>
        <v>1740940.1034660104</v>
      </c>
      <c r="O198" s="118">
        <f t="shared" si="175"/>
        <v>1693233.2749523392</v>
      </c>
      <c r="P198" s="118">
        <f t="shared" si="175"/>
        <v>1645053.8944121385</v>
      </c>
      <c r="Q198" s="118">
        <f t="shared" si="175"/>
        <v>1596397.2823909803</v>
      </c>
      <c r="R198" s="118">
        <f t="shared" si="175"/>
        <v>1619676.6350295979</v>
      </c>
      <c r="S198" s="118">
        <f t="shared" si="175"/>
        <v>1643193.4370651294</v>
      </c>
      <c r="T198" s="118">
        <f t="shared" si="175"/>
        <v>1666950.1104814236</v>
      </c>
      <c r="U198" s="118">
        <f t="shared" si="175"/>
        <v>1690949.1019665638</v>
      </c>
      <c r="V198" s="118">
        <f t="shared" si="175"/>
        <v>1715192.8831648526</v>
      </c>
      <c r="W198" s="118">
        <f t="shared" si="175"/>
        <v>1739683.950931364</v>
      </c>
      <c r="X198" s="118">
        <f t="shared" si="175"/>
        <v>1764424.8275890935</v>
      </c>
      <c r="Y198" s="118">
        <f t="shared" si="175"/>
        <v>1789418.061188732</v>
      </c>
      <c r="Z198" s="118">
        <f t="shared" si="175"/>
        <v>1814666.225771087</v>
      </c>
      <c r="AA198" s="118">
        <f t="shared" si="175"/>
        <v>1840171.9216321821</v>
      </c>
      <c r="AB198" s="118">
        <f t="shared" si="175"/>
        <v>1865937.7755910603</v>
      </c>
      <c r="AC198" s="118">
        <f t="shared" si="175"/>
        <v>1891966.441260319</v>
      </c>
      <c r="AD198" s="118">
        <f t="shared" si="175"/>
        <v>1918260.5993194042</v>
      </c>
      <c r="AE198" s="118">
        <f t="shared" si="175"/>
        <v>1944822.9577906921</v>
      </c>
      <c r="AF198" s="119">
        <f t="shared" si="175"/>
        <v>1971656.2523183872</v>
      </c>
      <c r="AH198" s="120" t="s">
        <v>103</v>
      </c>
      <c r="AI198" s="125"/>
      <c r="AJ198" s="125"/>
      <c r="AK198" s="125"/>
      <c r="AL198" s="109" t="s">
        <v>58</v>
      </c>
      <c r="AM198" s="126">
        <v>0</v>
      </c>
      <c r="AN198" s="110">
        <f>SUM($AM$199:AN199)</f>
        <v>5714</v>
      </c>
      <c r="AO198" s="110">
        <f>SUM($AM$199:AO199)</f>
        <v>12079.396000000001</v>
      </c>
      <c r="AP198" s="110">
        <f>SUM($AM$199:AP199)</f>
        <v>19170.447144000002</v>
      </c>
      <c r="AQ198" s="110">
        <f>SUM($AM$199:AQ199)</f>
        <v>27069.878118416003</v>
      </c>
      <c r="AR198" s="110">
        <f>SUM($AM$199:AR199)</f>
        <v>35869.844223915432</v>
      </c>
      <c r="AS198" s="110">
        <f>SUM($AM$199:AS199)</f>
        <v>45673.006465441795</v>
      </c>
      <c r="AT198" s="110">
        <f>SUM($AM$199:AT199)</f>
        <v>56593.72920250216</v>
      </c>
      <c r="AU198" s="110">
        <f>SUM($AM$199:AU199)</f>
        <v>68759.41433158741</v>
      </c>
      <c r="AV198" s="110">
        <f>SUM($AM$199:AV199)</f>
        <v>82311.987565388379</v>
      </c>
      <c r="AW198" s="110">
        <f>SUM($AM$199:AW199)</f>
        <v>97409.55414784266</v>
      </c>
      <c r="AX198" s="110">
        <f>SUM($AM$199:AX199)</f>
        <v>97409.55414784266</v>
      </c>
      <c r="AY198" s="110">
        <f>SUM($AM$199:AY199)</f>
        <v>97409.55414784266</v>
      </c>
      <c r="AZ198" s="110">
        <f>SUM($AM$199:AZ199)</f>
        <v>97409.55414784266</v>
      </c>
      <c r="BA198" s="110">
        <f>SUM($AM$199:BA199)</f>
        <v>97409.55414784266</v>
      </c>
      <c r="BB198" s="110">
        <f>SUM($AM$199:BB199)</f>
        <v>97409.55414784266</v>
      </c>
      <c r="BC198" s="110">
        <f>SUM($AM$199:BC199)</f>
        <v>97409.55414784266</v>
      </c>
      <c r="BD198" s="110">
        <f>SUM($AM$199:BD199)</f>
        <v>97409.55414784266</v>
      </c>
      <c r="BE198" s="110">
        <f>SUM($AM$199:BE199)</f>
        <v>97409.55414784266</v>
      </c>
      <c r="BF198" s="110">
        <f>SUM($AM$199:BF199)</f>
        <v>97409.55414784266</v>
      </c>
      <c r="BG198" s="110">
        <f>SUM($AM$199:BG199)</f>
        <v>97409.55414784266</v>
      </c>
      <c r="BH198" s="110">
        <f>SUM($AM$199:BH199)</f>
        <v>97409.55414784266</v>
      </c>
      <c r="BI198" s="110">
        <f>SUM($AM$199:BI199)</f>
        <v>97409.55414784266</v>
      </c>
      <c r="BJ198" s="110">
        <f>SUM($AM$199:BJ199)</f>
        <v>97409.55414784266</v>
      </c>
      <c r="BK198" s="110">
        <f>SUM($AM$199:BK199)</f>
        <v>97409.55414784266</v>
      </c>
      <c r="BL198" s="111">
        <f>SUM($AM$199:BL199)</f>
        <v>97409.55414784266</v>
      </c>
    </row>
    <row r="199" spans="1:64" x14ac:dyDescent="0.25">
      <c r="B199" s="122" t="s">
        <v>106</v>
      </c>
      <c r="C199" s="123"/>
      <c r="D199" s="123"/>
      <c r="E199" s="123"/>
      <c r="F199" s="12" t="s">
        <v>62</v>
      </c>
      <c r="G199" s="41">
        <f>G200</f>
        <v>12463.385773311866</v>
      </c>
      <c r="H199" s="41">
        <f t="shared" ref="H199:AF199" si="176">H200-H59/H196</f>
        <v>11628.487910471793</v>
      </c>
      <c r="I199" s="41">
        <f t="shared" si="176"/>
        <v>11670.322596718794</v>
      </c>
      <c r="J199" s="41">
        <f t="shared" si="176"/>
        <v>11712.306586497101</v>
      </c>
      <c r="K199" s="41">
        <f t="shared" si="176"/>
        <v>11754.440435088089</v>
      </c>
      <c r="L199" s="41">
        <f t="shared" si="176"/>
        <v>11796.724700050454</v>
      </c>
      <c r="M199" s="41">
        <f t="shared" si="176"/>
        <v>11839.159941229498</v>
      </c>
      <c r="N199" s="41">
        <f t="shared" si="176"/>
        <v>11881.746720766336</v>
      </c>
      <c r="O199" s="41">
        <f t="shared" si="176"/>
        <v>11924.485603107238</v>
      </c>
      <c r="P199" s="41">
        <f t="shared" si="176"/>
        <v>11967.377155012889</v>
      </c>
      <c r="Q199" s="41">
        <f t="shared" si="176"/>
        <v>12010.421945567765</v>
      </c>
      <c r="R199" s="41">
        <f t="shared" si="176"/>
        <v>12046.527060095297</v>
      </c>
      <c r="S199" s="41">
        <f t="shared" si="176"/>
        <v>12082.635891213919</v>
      </c>
      <c r="T199" s="41">
        <f t="shared" si="176"/>
        <v>12118.746584286851</v>
      </c>
      <c r="U199" s="41">
        <f t="shared" si="176"/>
        <v>12154.857251467069</v>
      </c>
      <c r="V199" s="41">
        <f t="shared" si="176"/>
        <v>12190.965971204809</v>
      </c>
      <c r="W199" s="41">
        <f t="shared" si="176"/>
        <v>12227.070787748107</v>
      </c>
      <c r="X199" s="41">
        <f t="shared" si="176"/>
        <v>12263.169710636208</v>
      </c>
      <c r="Y199" s="41">
        <f t="shared" si="176"/>
        <v>12299.260714185808</v>
      </c>
      <c r="Z199" s="41">
        <f t="shared" si="176"/>
        <v>12335.341736969984</v>
      </c>
      <c r="AA199" s="41">
        <f t="shared" si="176"/>
        <v>12371.410681289724</v>
      </c>
      <c r="AB199" s="41">
        <f t="shared" si="176"/>
        <v>12407.465412637948</v>
      </c>
      <c r="AC199" s="41">
        <f t="shared" si="176"/>
        <v>12443.50375915593</v>
      </c>
      <c r="AD199" s="41">
        <f t="shared" si="176"/>
        <v>12479.523511081981</v>
      </c>
      <c r="AE199" s="41">
        <f t="shared" si="176"/>
        <v>12515.522420192319</v>
      </c>
      <c r="AF199" s="42">
        <f t="shared" si="176"/>
        <v>12551.498199234031</v>
      </c>
      <c r="AH199" s="18"/>
      <c r="AI199" s="19" t="s">
        <v>104</v>
      </c>
      <c r="AJ199" s="19"/>
      <c r="AK199" s="19"/>
      <c r="AL199" s="17" t="s">
        <v>19</v>
      </c>
      <c r="AM199" s="46">
        <v>0</v>
      </c>
      <c r="AN199" s="39">
        <f>AN184</f>
        <v>5714</v>
      </c>
      <c r="AO199" s="39">
        <f t="shared" ref="AO199:BL199" si="177">AO184</f>
        <v>6365.3960000000006</v>
      </c>
      <c r="AP199" s="39">
        <f t="shared" si="177"/>
        <v>7091.0511440000009</v>
      </c>
      <c r="AQ199" s="39">
        <f t="shared" si="177"/>
        <v>7899.4309744160018</v>
      </c>
      <c r="AR199" s="39">
        <f t="shared" si="177"/>
        <v>8799.9661054994267</v>
      </c>
      <c r="AS199" s="39">
        <f t="shared" si="177"/>
        <v>9803.1622415263628</v>
      </c>
      <c r="AT199" s="39">
        <f t="shared" si="177"/>
        <v>10920.722737060369</v>
      </c>
      <c r="AU199" s="39">
        <f t="shared" si="177"/>
        <v>12165.685129085252</v>
      </c>
      <c r="AV199" s="39">
        <f t="shared" si="177"/>
        <v>13552.573233800971</v>
      </c>
      <c r="AW199" s="39">
        <f t="shared" si="177"/>
        <v>15097.566582454283</v>
      </c>
      <c r="AX199" s="39">
        <f t="shared" si="177"/>
        <v>0</v>
      </c>
      <c r="AY199" s="39">
        <f t="shared" si="177"/>
        <v>0</v>
      </c>
      <c r="AZ199" s="39">
        <f t="shared" si="177"/>
        <v>0</v>
      </c>
      <c r="BA199" s="39">
        <f t="shared" si="177"/>
        <v>0</v>
      </c>
      <c r="BB199" s="39">
        <f t="shared" si="177"/>
        <v>0</v>
      </c>
      <c r="BC199" s="39">
        <f t="shared" si="177"/>
        <v>0</v>
      </c>
      <c r="BD199" s="39">
        <f t="shared" si="177"/>
        <v>0</v>
      </c>
      <c r="BE199" s="39">
        <f t="shared" si="177"/>
        <v>0</v>
      </c>
      <c r="BF199" s="39">
        <f t="shared" si="177"/>
        <v>0</v>
      </c>
      <c r="BG199" s="39">
        <f t="shared" si="177"/>
        <v>0</v>
      </c>
      <c r="BH199" s="39">
        <f t="shared" si="177"/>
        <v>0</v>
      </c>
      <c r="BI199" s="39">
        <f t="shared" si="177"/>
        <v>0</v>
      </c>
      <c r="BJ199" s="39">
        <f t="shared" si="177"/>
        <v>0</v>
      </c>
      <c r="BK199" s="39">
        <f t="shared" si="177"/>
        <v>0</v>
      </c>
      <c r="BL199" s="40">
        <f t="shared" si="177"/>
        <v>0</v>
      </c>
    </row>
    <row r="200" spans="1:64" x14ac:dyDescent="0.25">
      <c r="B200" s="122" t="s">
        <v>107</v>
      </c>
      <c r="C200" s="5"/>
      <c r="D200" s="5"/>
      <c r="E200" s="123"/>
      <c r="F200" s="279" t="s">
        <v>19</v>
      </c>
      <c r="G200" s="41">
        <f>G191</f>
        <v>12463.385773311866</v>
      </c>
      <c r="H200" s="41">
        <f>G200*(1+'Customer Sector'!$F$12-'Customer Sector'!$F$97)</f>
        <v>12510.74663925045</v>
      </c>
      <c r="I200" s="41">
        <f>H200*(1+'Customer Sector'!$F$12-'Customer Sector'!$F$97)</f>
        <v>12558.287476479602</v>
      </c>
      <c r="J200" s="41">
        <f>I200*(1+'Customer Sector'!$F$12-'Customer Sector'!$F$97)</f>
        <v>12606.008968890224</v>
      </c>
      <c r="K200" s="41">
        <f>J200*(1+'Customer Sector'!$F$12-'Customer Sector'!$F$97)</f>
        <v>12653.911802972008</v>
      </c>
      <c r="L200" s="41">
        <f>K200*(1+'Customer Sector'!$F$12-'Customer Sector'!$F$97)</f>
        <v>12701.996667823303</v>
      </c>
      <c r="M200" s="41">
        <f>L200*(1+'Customer Sector'!$F$12-'Customer Sector'!$F$97)</f>
        <v>12750.264255161032</v>
      </c>
      <c r="N200" s="41">
        <f>M200*(1+'Customer Sector'!$F$12-'Customer Sector'!$F$97)</f>
        <v>12798.715259330644</v>
      </c>
      <c r="O200" s="41">
        <f>N200*(1+'Customer Sector'!$F$12-'Customer Sector'!$F$97)</f>
        <v>12847.350377316101</v>
      </c>
      <c r="P200" s="41">
        <f>O200*(1+'Customer Sector'!$F$12-'Customer Sector'!$F$97)</f>
        <v>12896.170308749903</v>
      </c>
      <c r="Q200" s="41">
        <f>P200*(1+'Customer Sector'!$F$12-'Customer Sector'!$F$97)</f>
        <v>12945.175755923152</v>
      </c>
      <c r="R200" s="41">
        <f>Q200*(1+'Customer Sector'!$F$12-'Customer Sector'!$F$97)</f>
        <v>12994.36742379566</v>
      </c>
      <c r="S200" s="41">
        <f>R200*(1+'Customer Sector'!$F$12-'Customer Sector'!$F$97)</f>
        <v>13043.746020006083</v>
      </c>
      <c r="T200" s="41">
        <f>S200*(1+'Customer Sector'!$F$12-'Customer Sector'!$F$97)</f>
        <v>13093.312254882107</v>
      </c>
      <c r="U200" s="41">
        <f>T200*(1+'Customer Sector'!$F$12-'Customer Sector'!$F$97)</f>
        <v>13143.066841450658</v>
      </c>
      <c r="V200" s="41">
        <f>U200*(1+'Customer Sector'!$F$12-'Customer Sector'!$F$97)</f>
        <v>13193.01049544817</v>
      </c>
      <c r="W200" s="41">
        <f>V200*(1+'Customer Sector'!$F$12-'Customer Sector'!$F$97)</f>
        <v>13243.143935330874</v>
      </c>
      <c r="X200" s="41">
        <f>W200*(1+'Customer Sector'!$F$12-'Customer Sector'!$F$97)</f>
        <v>13293.467882285131</v>
      </c>
      <c r="Y200" s="41">
        <f>X200*(1+'Customer Sector'!$F$12-'Customer Sector'!$F$97)</f>
        <v>13343.983060237815</v>
      </c>
      <c r="Z200" s="41">
        <f>Y200*(1+'Customer Sector'!$F$12-'Customer Sector'!$F$97)</f>
        <v>13394.690195866719</v>
      </c>
      <c r="AA200" s="41">
        <f>Z200*(1+'Customer Sector'!$F$12-'Customer Sector'!$F$97)</f>
        <v>13445.590018611012</v>
      </c>
      <c r="AB200" s="41">
        <f>AA200*(1+'Customer Sector'!$F$12-'Customer Sector'!$F$97)</f>
        <v>13496.683260681733</v>
      </c>
      <c r="AC200" s="41">
        <f>AB200*(1+'Customer Sector'!$F$12-'Customer Sector'!$F$97)</f>
        <v>13547.970657072325</v>
      </c>
      <c r="AD200" s="41">
        <f>AC200*(1+'Customer Sector'!$F$12-'Customer Sector'!$F$97)</f>
        <v>13599.452945569199</v>
      </c>
      <c r="AE200" s="41">
        <f>AD200*(1+'Customer Sector'!$F$12-'Customer Sector'!$F$97)</f>
        <v>13651.130866762362</v>
      </c>
      <c r="AF200" s="42">
        <f>AE200*(1+'Customer Sector'!$F$12-'Customer Sector'!$F$97)</f>
        <v>13703.00516405606</v>
      </c>
      <c r="AH200" s="18" t="s">
        <v>105</v>
      </c>
      <c r="AI200" s="19"/>
      <c r="AJ200" s="19"/>
      <c r="AK200" s="19"/>
      <c r="AL200" s="17" t="s">
        <v>19</v>
      </c>
      <c r="AM200" s="118">
        <f>AM189</f>
        <v>305540</v>
      </c>
      <c r="AN200" s="118">
        <f t="shared" ref="AN200:BL200" si="178">AN189-AN198</f>
        <v>302942.50799999997</v>
      </c>
      <c r="AO200" s="118">
        <f t="shared" si="178"/>
        <v>299725.40838159993</v>
      </c>
      <c r="AP200" s="118">
        <f t="shared" si="178"/>
        <v>295814.7662422923</v>
      </c>
      <c r="AQ200" s="118">
        <f t="shared" si="178"/>
        <v>291128.18444441643</v>
      </c>
      <c r="AR200" s="118">
        <f t="shared" si="178"/>
        <v>285573.83857705788</v>
      </c>
      <c r="AS200" s="118">
        <f t="shared" si="178"/>
        <v>279049.40190010145</v>
      </c>
      <c r="AT200" s="118">
        <f t="shared" si="178"/>
        <v>271440.84772836958</v>
      </c>
      <c r="AU200" s="118">
        <f t="shared" si="178"/>
        <v>262621.11528397922</v>
      </c>
      <c r="AV200" s="118">
        <f t="shared" si="178"/>
        <v>252448.62345225707</v>
      </c>
      <c r="AW200" s="118">
        <f t="shared" si="178"/>
        <v>240765.61510218275</v>
      </c>
      <c r="AX200" s="118">
        <f t="shared" si="178"/>
        <v>244215.00182853299</v>
      </c>
      <c r="AY200" s="118">
        <f t="shared" si="178"/>
        <v>247699.57229949199</v>
      </c>
      <c r="AZ200" s="118">
        <f t="shared" si="178"/>
        <v>251219.6853892548</v>
      </c>
      <c r="BA200" s="118">
        <f t="shared" si="178"/>
        <v>254775.70363253317</v>
      </c>
      <c r="BB200" s="118">
        <f t="shared" si="178"/>
        <v>258367.99326189302</v>
      </c>
      <c r="BC200" s="118">
        <f t="shared" si="178"/>
        <v>261996.92424547233</v>
      </c>
      <c r="BD200" s="118">
        <f t="shared" si="178"/>
        <v>265662.87032508419</v>
      </c>
      <c r="BE200" s="118">
        <f t="shared" si="178"/>
        <v>269366.20905470802</v>
      </c>
      <c r="BF200" s="118">
        <f t="shared" si="178"/>
        <v>273107.32183937402</v>
      </c>
      <c r="BG200" s="118">
        <f t="shared" si="178"/>
        <v>276886.59397444362</v>
      </c>
      <c r="BH200" s="118">
        <f t="shared" si="178"/>
        <v>280704.41468529089</v>
      </c>
      <c r="BI200" s="118">
        <f t="shared" si="178"/>
        <v>284561.17716738884</v>
      </c>
      <c r="BJ200" s="118">
        <f t="shared" si="178"/>
        <v>288457.27862680424</v>
      </c>
      <c r="BK200" s="118">
        <f t="shared" si="178"/>
        <v>292393.12032110558</v>
      </c>
      <c r="BL200" s="119">
        <f t="shared" si="178"/>
        <v>296369.10760068893</v>
      </c>
    </row>
    <row r="201" spans="1:64" x14ac:dyDescent="0.25">
      <c r="B201" s="18" t="s">
        <v>108</v>
      </c>
      <c r="C201" s="19"/>
      <c r="D201" s="19"/>
      <c r="E201" s="19"/>
      <c r="F201" s="17" t="s">
        <v>61</v>
      </c>
      <c r="G201" s="33">
        <f>(G199/12)*G$16+IF('Customer Sector'!$F$59,G110,0)</f>
        <v>124.63385773311866</v>
      </c>
      <c r="H201" s="33">
        <f ca="1">(H199/12)*H$16+IF('Customer Sector'!$F$59,H110,0)</f>
        <v>121.29386578414979</v>
      </c>
      <c r="I201" s="33">
        <f ca="1">(I199/12)*I$16+IF('Customer Sector'!$F$59,I110,0)</f>
        <v>125.0573756938325</v>
      </c>
      <c r="J201" s="33">
        <f ca="1">(J199/12)*J$16+IF('Customer Sector'!$F$59,J110,0)</f>
        <v>129.08054923254656</v>
      </c>
      <c r="K201" s="33">
        <f ca="1">(K199/12)*K$16+IF('Customer Sector'!$F$59,K110,0)</f>
        <v>133.38009092600262</v>
      </c>
      <c r="L201" s="33">
        <f ca="1">(L199/12)*L$16+IF('Customer Sector'!$F$59,L110,0)</f>
        <v>137.97377440582147</v>
      </c>
      <c r="M201" s="33">
        <f ca="1">(M199/12)*M$16+IF('Customer Sector'!$F$59,M110,0)</f>
        <v>142.88050821615488</v>
      </c>
      <c r="N201" s="33">
        <f ca="1">(N199/12)*N$16+IF('Customer Sector'!$F$59,N110,0)</f>
        <v>148.12040510201155</v>
      </c>
      <c r="O201" s="33">
        <f ca="1">(O199/12)*O$16+IF('Customer Sector'!$F$59,O110,0)</f>
        <v>153.71485483491946</v>
      </c>
      <c r="P201" s="33">
        <f ca="1">(P199/12)*P$16+IF('Customer Sector'!$F$59,P110,0)</f>
        <v>159.68660059650199</v>
      </c>
      <c r="Q201" s="33">
        <f ca="1">(Q199/12)*Q$16+IF('Customer Sector'!$F$59,Q110,0)</f>
        <v>166.05981889363451</v>
      </c>
      <c r="R201" s="33">
        <f ca="1">(R199/12)*R$16+IF('Customer Sector'!$F$59,R110,0)</f>
        <v>172.23563422069486</v>
      </c>
      <c r="S201" s="33">
        <f ca="1">(S199/12)*S$16+IF('Customer Sector'!$F$59,S110,0)</f>
        <v>179.22877581518389</v>
      </c>
      <c r="T201" s="33">
        <f ca="1">(T199/12)*T$16+IF('Customer Sector'!$F$59,T110,0)</f>
        <v>186.69715467744382</v>
      </c>
      <c r="U201" s="33">
        <f ca="1">(U199/12)*U$16+IF('Customer Sector'!$F$59,U110,0)</f>
        <v>194.67125092664909</v>
      </c>
      <c r="V201" s="33">
        <f ca="1">(V199/12)*V$16+IF('Customer Sector'!$F$59,V110,0)</f>
        <v>203.18352485823448</v>
      </c>
      <c r="W201" s="33">
        <f ca="1">(W199/12)*W$16+IF('Customer Sector'!$F$59,W110,0)</f>
        <v>212.26854598112408</v>
      </c>
      <c r="X201" s="33">
        <f ca="1">(X199/12)*X$16+IF('Customer Sector'!$F$59,X110,0)</f>
        <v>221.96313047084755</v>
      </c>
      <c r="Y201" s="33">
        <f ca="1">(Y199/12)*Y$16+IF('Customer Sector'!$F$59,Y110,0)</f>
        <v>232.30648758678356</v>
      </c>
      <c r="Z201" s="33">
        <f ca="1">(Z199/12)*Z$16+IF('Customer Sector'!$F$59,Z110,0)</f>
        <v>243.34037563743101</v>
      </c>
      <c r="AA201" s="33">
        <f ca="1">(AA199/12)*AA$16+IF('Customer Sector'!$F$59,AA110,0)</f>
        <v>255.10926811558284</v>
      </c>
      <c r="AB201" s="33">
        <f ca="1">(AB199/12)*AB$16+IF('Customer Sector'!$F$59,AB110,0)</f>
        <v>267.66053066571476</v>
      </c>
      <c r="AC201" s="33">
        <f ca="1">(AC199/12)*AC$16+IF('Customer Sector'!$F$59,AC110,0)</f>
        <v>281.04460958895856</v>
      </c>
      <c r="AD201" s="33">
        <f ca="1">(AD199/12)*AD$16+IF('Customer Sector'!$F$59,AD110,0)</f>
        <v>295.31523263686825</v>
      </c>
      <c r="AE201" s="33">
        <f ca="1">(AE199/12)*AE$16+IF('Customer Sector'!$F$59,AE110,0)</f>
        <v>310.52962289400466</v>
      </c>
      <c r="AF201" s="33">
        <f ca="1">(AF199/12)*AF$16+IF('Customer Sector'!$F$59,AF110,0)</f>
        <v>326.74872660131462</v>
      </c>
      <c r="AH201" s="122" t="s">
        <v>106</v>
      </c>
      <c r="AI201" s="123"/>
      <c r="AJ201" s="123"/>
      <c r="AK201" s="123"/>
      <c r="AL201" s="12" t="s">
        <v>62</v>
      </c>
      <c r="AM201" s="43">
        <f>AM202</f>
        <v>181282.31982719121</v>
      </c>
      <c r="AN201" s="41">
        <f t="shared" ref="AN201:BL201" si="179">AN202-AN59/AN198</f>
        <v>139358.36874248166</v>
      </c>
      <c r="AO201" s="41">
        <f t="shared" si="179"/>
        <v>140316.1943903206</v>
      </c>
      <c r="AP201" s="41">
        <f t="shared" si="179"/>
        <v>141292.38308511686</v>
      </c>
      <c r="AQ201" s="41">
        <f t="shared" si="179"/>
        <v>142285.46409560647</v>
      </c>
      <c r="AR201" s="41">
        <f t="shared" si="179"/>
        <v>143293.92213365977</v>
      </c>
      <c r="AS201" s="41">
        <f t="shared" si="179"/>
        <v>144316.20672464778</v>
      </c>
      <c r="AT201" s="41">
        <f t="shared" si="179"/>
        <v>145350.74175022377</v>
      </c>
      <c r="AU201" s="41">
        <f t="shared" si="179"/>
        <v>146395.93504415639</v>
      </c>
      <c r="AV201" s="41">
        <f t="shared" si="179"/>
        <v>147450.18792376894</v>
      </c>
      <c r="AW201" s="41">
        <f t="shared" si="179"/>
        <v>148511.90454381026</v>
      </c>
      <c r="AX201" s="41">
        <f t="shared" si="179"/>
        <v>148357.1785280451</v>
      </c>
      <c r="AY201" s="41">
        <f t="shared" si="179"/>
        <v>148198.05578022989</v>
      </c>
      <c r="AZ201" s="41">
        <f t="shared" si="179"/>
        <v>148034.48169237864</v>
      </c>
      <c r="BA201" s="41">
        <f t="shared" si="179"/>
        <v>147866.40101805542</v>
      </c>
      <c r="BB201" s="41">
        <f t="shared" si="179"/>
        <v>147693.75786496128</v>
      </c>
      <c r="BC201" s="41">
        <f t="shared" si="179"/>
        <v>147516.49568743567</v>
      </c>
      <c r="BD201" s="41">
        <f t="shared" si="179"/>
        <v>147334.55727887037</v>
      </c>
      <c r="BE201" s="41">
        <f t="shared" si="179"/>
        <v>147147.88476403523</v>
      </c>
      <c r="BF201" s="41">
        <f t="shared" si="179"/>
        <v>146956.41959131544</v>
      </c>
      <c r="BG201" s="41">
        <f t="shared" si="179"/>
        <v>146760.10252485867</v>
      </c>
      <c r="BH201" s="41">
        <f t="shared" si="179"/>
        <v>146558.87363663051</v>
      </c>
      <c r="BI201" s="41">
        <f t="shared" si="179"/>
        <v>146352.6722983786</v>
      </c>
      <c r="BJ201" s="41">
        <f t="shared" si="179"/>
        <v>146141.43717350269</v>
      </c>
      <c r="BK201" s="41">
        <f t="shared" si="179"/>
        <v>145925.10620883125</v>
      </c>
      <c r="BL201" s="42">
        <f t="shared" si="179"/>
        <v>145703.61662630184</v>
      </c>
    </row>
    <row r="202" spans="1:64" x14ac:dyDescent="0.25">
      <c r="B202" s="18" t="s">
        <v>109</v>
      </c>
      <c r="C202" s="19"/>
      <c r="D202" s="19"/>
      <c r="E202" s="19"/>
      <c r="F202" s="17" t="s">
        <v>19</v>
      </c>
      <c r="G202" s="33">
        <f>(G200/12)*G$16+IF('Customer Sector'!$F$59,G110,0)</f>
        <v>124.63385773311866</v>
      </c>
      <c r="H202" s="33">
        <f ca="1">(H200/12)*H$16+IF('Customer Sector'!$F$59,H110,0)</f>
        <v>130.49648719626006</v>
      </c>
      <c r="I202" s="33">
        <f ca="1">(I200/12)*I$16+IF('Customer Sector'!$F$59,I110,0)</f>
        <v>134.5726702926637</v>
      </c>
      <c r="J202" s="33">
        <f ca="1">(J200/12)*J$16+IF('Customer Sector'!$F$59,J110,0)</f>
        <v>138.92998354489077</v>
      </c>
      <c r="K202" s="33">
        <f ca="1">(K200/12)*K$16+IF('Customer Sector'!$F$59,K110,0)</f>
        <v>143.58658042213952</v>
      </c>
      <c r="L202" s="33">
        <f ca="1">(L200/12)*L$16+IF('Customer Sector'!$F$59,L110,0)</f>
        <v>148.56178026619989</v>
      </c>
      <c r="M202" s="33">
        <f ca="1">(M200/12)*M$16+IF('Customer Sector'!$F$59,M110,0)</f>
        <v>153.87614034366118</v>
      </c>
      <c r="N202" s="33">
        <f ca="1">(N200/12)*N$16+IF('Customer Sector'!$F$59,N110,0)</f>
        <v>159.55153173599055</v>
      </c>
      <c r="O202" s="33">
        <f ca="1">(O200/12)*O$16+IF('Customer Sector'!$F$59,O110,0)</f>
        <v>165.61121913283196</v>
      </c>
      <c r="P202" s="33">
        <f ca="1">(P200/12)*P$16+IF('Customer Sector'!$F$59,P110,0)</f>
        <v>172.07994455620508</v>
      </c>
      <c r="Q202" s="33">
        <f ca="1">(Q200/12)*Q$16+IF('Customer Sector'!$F$59,Q110,0)</f>
        <v>178.98401499275934</v>
      </c>
      <c r="R202" s="33">
        <f ca="1">(R200/12)*R$16+IF('Customer Sector'!$F$59,R110,0)</f>
        <v>185.78741436176855</v>
      </c>
      <c r="S202" s="33">
        <f ca="1">(S200/12)*S$16+IF('Customer Sector'!$F$59,S110,0)</f>
        <v>193.48548216286537</v>
      </c>
      <c r="T202" s="33">
        <f ca="1">(T200/12)*T$16+IF('Customer Sector'!$F$59,T110,0)</f>
        <v>201.71097120384627</v>
      </c>
      <c r="U202" s="33">
        <f ca="1">(U200/12)*U$16+IF('Customer Sector'!$F$59,U110,0)</f>
        <v>210.49833906761407</v>
      </c>
      <c r="V202" s="33">
        <f ca="1">(V200/12)*V$16+IF('Customer Sector'!$F$59,V110,0)</f>
        <v>219.88432928846271</v>
      </c>
      <c r="W202" s="33">
        <f ca="1">(W200/12)*W$16+IF('Customer Sector'!$F$59,W110,0)</f>
        <v>229.90812404457785</v>
      </c>
      <c r="X202" s="33">
        <f ca="1">(X200/12)*X$16+IF('Customer Sector'!$F$59,X110,0)</f>
        <v>240.61150710541679</v>
      </c>
      <c r="Y202" s="33">
        <f ca="1">(Y200/12)*Y$16+IF('Customer Sector'!$F$59,Y110,0)</f>
        <v>252.0390377257398</v>
      </c>
      <c r="Z202" s="33">
        <f ca="1">(Z200/12)*Z$16+IF('Customer Sector'!$F$59,Z110,0)</f>
        <v>264.23823622497127</v>
      </c>
      <c r="AA202" s="33">
        <f ca="1">(AA200/12)*AA$16+IF('Customer Sector'!$F$59,AA110,0)</f>
        <v>277.25978204067286</v>
      </c>
      <c r="AB202" s="33">
        <f ca="1">(AB200/12)*AB$16+IF('Customer Sector'!$F$59,AB110,0)</f>
        <v>291.15772509843197</v>
      </c>
      <c r="AC202" s="33">
        <f ca="1">(AC200/12)*AC$16+IF('Customer Sector'!$F$59,AC110,0)</f>
        <v>305.98971139763893</v>
      </c>
      <c r="AD202" s="33">
        <f ca="1">(AD200/12)*AD$16+IF('Customer Sector'!$F$59,AD110,0)</f>
        <v>321.81722377369124</v>
      </c>
      <c r="AE202" s="33">
        <f ca="1">(AE200/12)*AE$16+IF('Customer Sector'!$F$59,AE110,0)</f>
        <v>338.70583886240075</v>
      </c>
      <c r="AF202" s="33">
        <f ca="1">(AF200/12)*AF$16+IF('Customer Sector'!$F$59,AF110,0)</f>
        <v>356.72550136204427</v>
      </c>
      <c r="AH202" s="122" t="s">
        <v>107</v>
      </c>
      <c r="AI202" s="5"/>
      <c r="AJ202" s="5"/>
      <c r="AK202" s="123"/>
      <c r="AL202" s="279" t="s">
        <v>19</v>
      </c>
      <c r="AM202" s="41">
        <f>AM191</f>
        <v>181282.31982719121</v>
      </c>
      <c r="AN202" s="41">
        <f t="shared" ref="AN202:BL202" si="180">AN191</f>
        <v>181533.55250166962</v>
      </c>
      <c r="AO202" s="41">
        <f t="shared" si="180"/>
        <v>181785.13335051376</v>
      </c>
      <c r="AP202" s="41">
        <f t="shared" si="180"/>
        <v>182037.06285624602</v>
      </c>
      <c r="AQ202" s="41">
        <f t="shared" si="180"/>
        <v>182289.3415020575</v>
      </c>
      <c r="AR202" s="41">
        <f t="shared" si="180"/>
        <v>182541.96977180894</v>
      </c>
      <c r="AS202" s="41">
        <f t="shared" si="180"/>
        <v>182794.94815003159</v>
      </c>
      <c r="AT202" s="41">
        <f t="shared" si="180"/>
        <v>183048.27712192832</v>
      </c>
      <c r="AU202" s="41">
        <f t="shared" si="180"/>
        <v>183301.95717337428</v>
      </c>
      <c r="AV202" s="41">
        <f t="shared" si="180"/>
        <v>183555.98879091805</v>
      </c>
      <c r="AW202" s="41">
        <f t="shared" si="180"/>
        <v>183810.37246178254</v>
      </c>
      <c r="AX202" s="41">
        <f t="shared" si="180"/>
        <v>184065.10867386582</v>
      </c>
      <c r="AY202" s="41">
        <f t="shared" si="180"/>
        <v>184320.19791574212</v>
      </c>
      <c r="AZ202" s="41">
        <f t="shared" si="180"/>
        <v>184575.64067666276</v>
      </c>
      <c r="BA202" s="41">
        <f t="shared" si="180"/>
        <v>184831.43744655719</v>
      </c>
      <c r="BB202" s="41">
        <f t="shared" si="180"/>
        <v>185087.5887160337</v>
      </c>
      <c r="BC202" s="41">
        <f t="shared" si="180"/>
        <v>185344.09497638061</v>
      </c>
      <c r="BD202" s="41">
        <f t="shared" si="180"/>
        <v>185600.95671956704</v>
      </c>
      <c r="BE202" s="41">
        <f t="shared" si="180"/>
        <v>185858.17443824396</v>
      </c>
      <c r="BF202" s="41">
        <f t="shared" si="180"/>
        <v>186115.74862574504</v>
      </c>
      <c r="BG202" s="41">
        <f t="shared" si="180"/>
        <v>186373.67977608758</v>
      </c>
      <c r="BH202" s="41">
        <f t="shared" si="180"/>
        <v>186631.9683839737</v>
      </c>
      <c r="BI202" s="41">
        <f t="shared" si="180"/>
        <v>186890.61494479093</v>
      </c>
      <c r="BJ202" s="41">
        <f t="shared" si="180"/>
        <v>187149.61995461347</v>
      </c>
      <c r="BK202" s="41">
        <f t="shared" si="180"/>
        <v>187408.98391020295</v>
      </c>
      <c r="BL202" s="42">
        <f t="shared" si="180"/>
        <v>187668.70730900939</v>
      </c>
    </row>
    <row r="203" spans="1:64" x14ac:dyDescent="0.25">
      <c r="B203" s="127" t="s">
        <v>110</v>
      </c>
      <c r="C203" s="107"/>
      <c r="D203" s="107"/>
      <c r="E203" s="107"/>
      <c r="F203" s="12" t="s">
        <v>229</v>
      </c>
      <c r="G203" s="107">
        <f t="shared" ref="G203:AF203" si="181">(G201-G$193)/G$193</f>
        <v>0</v>
      </c>
      <c r="H203" s="107">
        <f t="shared" ca="1" si="181"/>
        <v>-6.5325213576347838E-2</v>
      </c>
      <c r="I203" s="107">
        <f t="shared" ca="1" si="181"/>
        <v>-6.4359802765877078E-2</v>
      </c>
      <c r="J203" s="107">
        <f t="shared" ca="1" si="181"/>
        <v>-6.3464831093538426E-2</v>
      </c>
      <c r="K203" s="107">
        <f t="shared" ca="1" si="181"/>
        <v>-6.2640981676353569E-2</v>
      </c>
      <c r="L203" s="107">
        <f t="shared" ca="1" si="181"/>
        <v>-6.1888757666820504E-2</v>
      </c>
      <c r="M203" s="107">
        <f t="shared" ca="1" si="181"/>
        <v>-6.1208498070164111E-2</v>
      </c>
      <c r="N203" s="107">
        <f t="shared" ca="1" si="181"/>
        <v>-6.0600397987734242E-2</v>
      </c>
      <c r="O203" s="107">
        <f t="shared" ca="1" si="181"/>
        <v>-6.0064533207516882E-2</v>
      </c>
      <c r="P203" s="107">
        <f t="shared" ca="1" si="181"/>
        <v>-5.9600889038080127E-2</v>
      </c>
      <c r="Q203" s="107">
        <f t="shared" ca="1" si="181"/>
        <v>-5.9209393280972848E-2</v>
      </c>
      <c r="R203" s="107">
        <f t="shared" ca="1" si="181"/>
        <v>-6.2290318787597374E-2</v>
      </c>
      <c r="S203" s="107">
        <f t="shared" ca="1" si="181"/>
        <v>-6.327453668223014E-2</v>
      </c>
      <c r="T203" s="107">
        <f t="shared" ca="1" si="181"/>
        <v>-6.426192820641248E-2</v>
      </c>
      <c r="U203" s="107">
        <f t="shared" ca="1" si="181"/>
        <v>-6.5252203822868698E-2</v>
      </c>
      <c r="V203" s="107">
        <f t="shared" ca="1" si="181"/>
        <v>-6.6245114677964442E-2</v>
      </c>
      <c r="W203" s="107">
        <f t="shared" ca="1" si="181"/>
        <v>-6.7240453084579058E-2</v>
      </c>
      <c r="X203" s="107">
        <f t="shared" ca="1" si="181"/>
        <v>-6.8238052467546412E-2</v>
      </c>
      <c r="Y203" s="107">
        <f t="shared" ca="1" si="181"/>
        <v>-6.9237786816105124E-2</v>
      </c>
      <c r="Z203" s="107">
        <f t="shared" ca="1" si="181"/>
        <v>-7.0239569694858603E-2</v>
      </c>
      <c r="AA203" s="107">
        <f t="shared" ca="1" si="181"/>
        <v>-7.1243352869553925E-2</v>
      </c>
      <c r="AB203" s="107">
        <f t="shared" ca="1" si="181"/>
        <v>-7.2249124606651421E-2</v>
      </c>
      <c r="AC203" s="107">
        <f t="shared" ca="1" si="181"/>
        <v>-7.3256907706375829E-2</v>
      </c>
      <c r="AD203" s="107">
        <f t="shared" ca="1" si="181"/>
        <v>-7.4266757327914407E-2</v>
      </c>
      <c r="AE203" s="107">
        <f t="shared" ca="1" si="181"/>
        <v>-7.5278758662959203E-2</v>
      </c>
      <c r="AF203" s="114">
        <f t="shared" ca="1" si="181"/>
        <v>-7.629302451014941E-2</v>
      </c>
      <c r="AH203" s="122" t="s">
        <v>290</v>
      </c>
      <c r="AI203" s="5"/>
      <c r="AJ203" s="5"/>
      <c r="AK203" s="123"/>
      <c r="AL203" s="279" t="s">
        <v>79</v>
      </c>
      <c r="AM203" s="41">
        <f>AM192</f>
        <v>34.490547912327095</v>
      </c>
      <c r="AN203" s="278">
        <f t="shared" ref="AN203:BL203" si="182">AN204-AN62/AN198</f>
        <v>24.851962808194543</v>
      </c>
      <c r="AO203" s="278">
        <f t="shared" si="182"/>
        <v>25.309460602419573</v>
      </c>
      <c r="AP203" s="278">
        <f t="shared" si="182"/>
        <v>25.758303923201019</v>
      </c>
      <c r="AQ203" s="278">
        <f t="shared" si="182"/>
        <v>26.198086306945566</v>
      </c>
      <c r="AR203" s="278">
        <f t="shared" si="182"/>
        <v>26.62843922636462</v>
      </c>
      <c r="AS203" s="278">
        <f t="shared" si="182"/>
        <v>27.049033444247801</v>
      </c>
      <c r="AT203" s="278">
        <f t="shared" si="182"/>
        <v>27.459580008495166</v>
      </c>
      <c r="AU203" s="278">
        <f t="shared" si="182"/>
        <v>27.859830883925532</v>
      </c>
      <c r="AV203" s="278">
        <f t="shared" si="182"/>
        <v>28.249579222315006</v>
      </c>
      <c r="AW203" s="278">
        <f t="shared" si="182"/>
        <v>28.628659277853092</v>
      </c>
      <c r="AX203" s="278">
        <f t="shared" si="182"/>
        <v>28.60354774745613</v>
      </c>
      <c r="AY203" s="278">
        <f t="shared" si="182"/>
        <v>28.577649887106585</v>
      </c>
      <c r="AZ203" s="278">
        <f t="shared" si="182"/>
        <v>28.55095588932404</v>
      </c>
      <c r="BA203" s="278">
        <f t="shared" si="182"/>
        <v>28.523455831910589</v>
      </c>
      <c r="BB203" s="278">
        <f t="shared" si="182"/>
        <v>28.49513967661867</v>
      </c>
      <c r="BC203" s="278">
        <f t="shared" si="182"/>
        <v>28.465997267803687</v>
      </c>
      <c r="BD203" s="278">
        <f t="shared" si="182"/>
        <v>28.436018331060815</v>
      </c>
      <c r="BE203" s="278">
        <f t="shared" si="182"/>
        <v>28.405192471846085</v>
      </c>
      <c r="BF203" s="278">
        <f t="shared" si="182"/>
        <v>28.373509174081423</v>
      </c>
      <c r="BG203" s="278">
        <f t="shared" si="182"/>
        <v>28.340957798743524</v>
      </c>
      <c r="BH203" s="278">
        <f t="shared" si="182"/>
        <v>28.3075275824364</v>
      </c>
      <c r="BI203" s="278">
        <f t="shared" si="182"/>
        <v>28.273207635947291</v>
      </c>
      <c r="BJ203" s="278">
        <f t="shared" si="182"/>
        <v>28.237986942785888</v>
      </c>
      <c r="BK203" s="278">
        <f t="shared" si="182"/>
        <v>28.201854357706519</v>
      </c>
      <c r="BL203" s="290">
        <f t="shared" si="182"/>
        <v>28.164798605213317</v>
      </c>
    </row>
    <row r="204" spans="1:64" x14ac:dyDescent="0.25">
      <c r="A204" s="124"/>
      <c r="B204" s="128" t="s">
        <v>111</v>
      </c>
      <c r="C204" s="70"/>
      <c r="D204" s="70"/>
      <c r="E204" s="70"/>
      <c r="F204" s="13" t="s">
        <v>19</v>
      </c>
      <c r="G204" s="70">
        <f t="shared" ref="G204:AF204" si="183">(G202-G$193)/G$193</f>
        <v>0</v>
      </c>
      <c r="H204" s="70">
        <f t="shared" ca="1" si="183"/>
        <v>5.5889925732751549E-3</v>
      </c>
      <c r="I204" s="70">
        <f t="shared" ca="1" si="183"/>
        <v>6.8306573393103068E-3</v>
      </c>
      <c r="J204" s="70">
        <f t="shared" ca="1" si="183"/>
        <v>7.997071433124732E-3</v>
      </c>
      <c r="K204" s="70">
        <f t="shared" ca="1" si="183"/>
        <v>9.0874517668145371E-3</v>
      </c>
      <c r="L204" s="70">
        <f t="shared" ca="1" si="183"/>
        <v>1.010120835596515E-2</v>
      </c>
      <c r="M204" s="70">
        <f t="shared" ca="1" si="183"/>
        <v>1.1037927481690567E-2</v>
      </c>
      <c r="N204" s="70">
        <f t="shared" ca="1" si="183"/>
        <v>1.1897350064710537E-2</v>
      </c>
      <c r="O204" s="70">
        <f t="shared" ca="1" si="183"/>
        <v>1.2679345329794386E-2</v>
      </c>
      <c r="P204" s="70">
        <f t="shared" ca="1" si="183"/>
        <v>1.3383879865600606E-2</v>
      </c>
      <c r="Q204" s="70">
        <f t="shared" ca="1" si="183"/>
        <v>1.4010982186493198E-2</v>
      </c>
      <c r="R204" s="70">
        <f t="shared" ca="1" si="183"/>
        <v>1.1490205744647781E-2</v>
      </c>
      <c r="S204" s="70">
        <f t="shared" ca="1" si="183"/>
        <v>1.123704661781013E-2</v>
      </c>
      <c r="T204" s="70">
        <f t="shared" ca="1" si="183"/>
        <v>1.0988279816044775E-2</v>
      </c>
      <c r="U204" s="70">
        <f t="shared" ca="1" si="183"/>
        <v>1.0744306649253514E-2</v>
      </c>
      <c r="V204" s="70">
        <f t="shared" ca="1" si="183"/>
        <v>1.0505486712645814E-2</v>
      </c>
      <c r="W204" s="70">
        <f t="shared" ca="1" si="183"/>
        <v>1.0272137234428722E-2</v>
      </c>
      <c r="X204" s="70">
        <f t="shared" ca="1" si="183"/>
        <v>1.0044532998272975E-2</v>
      </c>
      <c r="Y204" s="70">
        <f t="shared" ca="1" si="183"/>
        <v>9.8229067955440796E-3</v>
      </c>
      <c r="Z204" s="70">
        <f t="shared" ca="1" si="183"/>
        <v>9.6074503544502053E-3</v>
      </c>
      <c r="AA204" s="70">
        <f t="shared" ca="1" si="183"/>
        <v>9.3983156877878397E-3</v>
      </c>
      <c r="AB204" s="70">
        <f t="shared" ca="1" si="183"/>
        <v>9.195616797776562E-3</v>
      </c>
      <c r="AC204" s="70">
        <f t="shared" ca="1" si="183"/>
        <v>8.9994316753560667E-3</v>
      </c>
      <c r="AD204" s="70">
        <f t="shared" ca="1" si="183"/>
        <v>8.809804532088801E-3</v>
      </c>
      <c r="AE204" s="70">
        <f t="shared" ca="1" si="183"/>
        <v>8.6267482051226793E-3</v>
      </c>
      <c r="AF204" s="71">
        <f t="shared" ca="1" si="183"/>
        <v>8.4502466792743293E-3</v>
      </c>
      <c r="AH204" s="122" t="s">
        <v>291</v>
      </c>
      <c r="AI204" s="5"/>
      <c r="AJ204" s="5"/>
      <c r="AK204" s="123"/>
      <c r="AL204" s="279" t="s">
        <v>19</v>
      </c>
      <c r="AM204" s="41">
        <f>AM193</f>
        <v>34.490547912327095</v>
      </c>
      <c r="AN204" s="41">
        <f t="shared" ref="AN204:BL204" si="184">AN193</f>
        <v>34.538347127410503</v>
      </c>
      <c r="AO204" s="41">
        <f t="shared" si="184"/>
        <v>34.586212585714186</v>
      </c>
      <c r="AP204" s="41">
        <f t="shared" si="184"/>
        <v>34.634144379042247</v>
      </c>
      <c r="AQ204" s="41">
        <f t="shared" si="184"/>
        <v>34.682142599326014</v>
      </c>
      <c r="AR204" s="41">
        <f t="shared" si="184"/>
        <v>34.730207338624233</v>
      </c>
      <c r="AS204" s="41">
        <f t="shared" si="184"/>
        <v>34.778338689123217</v>
      </c>
      <c r="AT204" s="41">
        <f t="shared" si="184"/>
        <v>34.826536743137055</v>
      </c>
      <c r="AU204" s="41">
        <f t="shared" si="184"/>
        <v>34.87480159310774</v>
      </c>
      <c r="AV204" s="41">
        <f t="shared" si="184"/>
        <v>34.92313333160542</v>
      </c>
      <c r="AW204" s="41">
        <f t="shared" si="184"/>
        <v>34.971532051328495</v>
      </c>
      <c r="AX204" s="41">
        <f t="shared" si="184"/>
        <v>35.019997845103852</v>
      </c>
      <c r="AY204" s="41">
        <f t="shared" si="184"/>
        <v>35.068530805887015</v>
      </c>
      <c r="AZ204" s="41">
        <f t="shared" si="184"/>
        <v>35.11713102676233</v>
      </c>
      <c r="BA204" s="41">
        <f t="shared" si="184"/>
        <v>35.165798600943155</v>
      </c>
      <c r="BB204" s="41">
        <f t="shared" si="184"/>
        <v>35.214533621772027</v>
      </c>
      <c r="BC204" s="41">
        <f t="shared" si="184"/>
        <v>35.263336182720828</v>
      </c>
      <c r="BD204" s="41">
        <f t="shared" si="184"/>
        <v>35.312206377391007</v>
      </c>
      <c r="BE204" s="41">
        <f t="shared" si="184"/>
        <v>35.361144299513711</v>
      </c>
      <c r="BF204" s="41">
        <f t="shared" si="184"/>
        <v>35.410150042949979</v>
      </c>
      <c r="BG204" s="41">
        <f t="shared" si="184"/>
        <v>35.459223701690952</v>
      </c>
      <c r="BH204" s="41">
        <f t="shared" si="184"/>
        <v>35.508365369858019</v>
      </c>
      <c r="BI204" s="41">
        <f t="shared" si="184"/>
        <v>35.557575141703005</v>
      </c>
      <c r="BJ204" s="41">
        <f t="shared" si="184"/>
        <v>35.606853111608359</v>
      </c>
      <c r="BK204" s="41">
        <f t="shared" si="184"/>
        <v>35.656199374087329</v>
      </c>
      <c r="BL204" s="42">
        <f t="shared" si="184"/>
        <v>35.705614023784143</v>
      </c>
    </row>
    <row r="205" spans="1:64" x14ac:dyDescent="0.25">
      <c r="A205" s="124"/>
      <c r="B205" s="740" t="s">
        <v>230</v>
      </c>
      <c r="C205" s="741"/>
      <c r="D205" s="741"/>
      <c r="E205" s="741"/>
      <c r="F205" s="746"/>
      <c r="G205" s="746"/>
      <c r="H205" s="746"/>
      <c r="I205" s="746"/>
      <c r="J205" s="746"/>
      <c r="K205" s="746"/>
      <c r="L205" s="746"/>
      <c r="M205" s="125"/>
      <c r="N205" s="125"/>
      <c r="O205" s="125"/>
      <c r="P205" s="125"/>
      <c r="Q205" s="289"/>
      <c r="R205" s="47"/>
      <c r="S205" s="47"/>
      <c r="T205" s="47"/>
      <c r="U205" s="47"/>
      <c r="V205" s="47"/>
      <c r="W205" s="47"/>
      <c r="X205" s="47"/>
      <c r="Y205" s="47"/>
      <c r="Z205" s="47"/>
      <c r="AA205" s="47"/>
      <c r="AB205" s="47"/>
      <c r="AH205" s="18" t="s">
        <v>108</v>
      </c>
      <c r="AI205" s="19"/>
      <c r="AJ205" s="19"/>
      <c r="AK205" s="19"/>
      <c r="AL205" s="17" t="s">
        <v>61</v>
      </c>
      <c r="AM205" s="33">
        <f>(AM201/12)*AM$16+AM203*AM29+IF('Customer Sector'!$L$59,AM110,0)</f>
        <v>1278.9784976849135</v>
      </c>
      <c r="AN205" s="33">
        <f ca="1">(AN201/12)*AN$16+AN203*AN29+IF('Customer Sector'!$L$59,AN110,0)</f>
        <v>1013.4904604501281</v>
      </c>
      <c r="AO205" s="33">
        <f ca="1">(AO201/12)*AO$16+AO203*AO29+IF('Customer Sector'!$L$59,AO110,0)</f>
        <v>1060.8948431544216</v>
      </c>
      <c r="AP205" s="33">
        <f ca="1">(AP201/12)*AP$16+AP203*AP29+IF('Customer Sector'!$L$59,AP110,0)</f>
        <v>1111.4689576064031</v>
      </c>
      <c r="AQ205" s="33">
        <f ca="1">(AQ201/12)*AQ$16+AQ203*AQ29+IF('Customer Sector'!$L$59,AQ110,0)</f>
        <v>1165.4372022940108</v>
      </c>
      <c r="AR205" s="33">
        <f ca="1">(AR201/12)*AR$16+AR203*AR29+IF('Customer Sector'!$L$59,AR110,0)</f>
        <v>1223.0396151956757</v>
      </c>
      <c r="AS205" s="33">
        <f ca="1">(AS201/12)*AS$16+AS203*AS29+IF('Customer Sector'!$L$59,AS110,0)</f>
        <v>1284.5329179211244</v>
      </c>
      <c r="AT205" s="33">
        <f ca="1">(AT201/12)*AT$16+AT203*AT29+IF('Customer Sector'!$L$59,AT110,0)</f>
        <v>1350.1916380890336</v>
      </c>
      <c r="AU205" s="33">
        <f ca="1">(AU201/12)*AU$16+AU203*AU29+IF('Customer Sector'!$L$59,AU110,0)</f>
        <v>1420.3093181383231</v>
      </c>
      <c r="AV205" s="33">
        <f ca="1">(AV201/12)*AV$16+AV203*AV29+IF('Customer Sector'!$L$59,AV110,0)</f>
        <v>1495.1998198648619</v>
      </c>
      <c r="AW205" s="33">
        <f ca="1">(AW201/12)*AW$16+AW203*AW29+IF('Customer Sector'!$L$59,AW110,0)</f>
        <v>1575.1987352578451</v>
      </c>
      <c r="AX205" s="33">
        <f ca="1">(AX201/12)*AX$16+AX203*AX29+IF('Customer Sector'!$L$59,AX110,0)</f>
        <v>1641.7225774491658</v>
      </c>
      <c r="AY205" s="33">
        <f ca="1">(AY201/12)*AY$16+AY203*AY29+IF('Customer Sector'!$L$59,AY110,0)</f>
        <v>1714.0661878040173</v>
      </c>
      <c r="AZ205" s="33">
        <f ca="1">(AZ201/12)*AZ$16+AZ203*AZ29+IF('Customer Sector'!$L$59,AZ110,0)</f>
        <v>1791.056937767951</v>
      </c>
      <c r="BA205" s="33">
        <f ca="1">(BA201/12)*BA$16+BA203*BA29+IF('Customer Sector'!$L$59,BA110,0)</f>
        <v>1872.9755385097653</v>
      </c>
      <c r="BB205" s="33">
        <f ca="1">(BB201/12)*BB$16+BB203*BB29+IF('Customer Sector'!$L$59,BB110,0)</f>
        <v>1960.1195819950644</v>
      </c>
      <c r="BC205" s="33">
        <f ca="1">(BC201/12)*BC$16+BC203*BC29+IF('Customer Sector'!$L$59,BC110,0)</f>
        <v>2052.8045390729385</v>
      </c>
      <c r="BD205" s="33">
        <f ca="1">(BD201/12)*BD$16+BD203*BD29+IF('Customer Sector'!$L$59,BD110,0)</f>
        <v>2151.364815052912</v>
      </c>
      <c r="BE205" s="33">
        <f ca="1">(BE201/12)*BE$16+BE203*BE29+IF('Customer Sector'!$L$59,BE110,0)</f>
        <v>2256.1548659494219</v>
      </c>
      <c r="BF205" s="33">
        <f ca="1">(BF201/12)*BF$16+BF203*BF29+IF('Customer Sector'!$L$59,BF110,0)</f>
        <v>2367.5503787350717</v>
      </c>
      <c r="BG205" s="33">
        <f ca="1">(BG201/12)*BG$16+BG203*BG29+IF('Customer Sector'!$L$59,BG110,0)</f>
        <v>2485.9495191153828</v>
      </c>
      <c r="BH205" s="33">
        <f ca="1">(BH201/12)*BH$16+BH203*BH29+IF('Customer Sector'!$L$59,BH110,0)</f>
        <v>2611.774250516793</v>
      </c>
      <c r="BI205" s="33">
        <f ca="1">(BI201/12)*BI$16+BI203*BI29+IF('Customer Sector'!$L$59,BI110,0)</f>
        <v>2745.4717281666399</v>
      </c>
      <c r="BJ205" s="33">
        <f ca="1">(BJ201/12)*BJ$16+BJ203*BJ29+IF('Customer Sector'!$L$59,BJ110,0)</f>
        <v>2887.5157723387965</v>
      </c>
      <c r="BK205" s="33">
        <f ca="1">(BK201/12)*BK$16+BK203*BK29+IF('Customer Sector'!$L$59,BK110,0)</f>
        <v>3038.4084250420046</v>
      </c>
      <c r="BL205" s="33">
        <f ca="1">(BL201/12)*BL$16+BL203*BL29+IF('Customer Sector'!$L$59,BL110,0)</f>
        <v>3198.6815946395423</v>
      </c>
    </row>
    <row r="206" spans="1:64" x14ac:dyDescent="0.25">
      <c r="B206" s="10" t="s">
        <v>106</v>
      </c>
      <c r="C206" s="11"/>
      <c r="D206" s="11"/>
      <c r="E206" s="11"/>
      <c r="F206" s="109" t="s">
        <v>62</v>
      </c>
      <c r="G206" s="239">
        <f>G200+'Customer Sector'!$F$108</f>
        <v>12463.385773311866</v>
      </c>
      <c r="H206" s="239">
        <f>H200-H59/H196+'Customer Sector'!$F$108</f>
        <v>11628.487910471793</v>
      </c>
      <c r="I206" s="239">
        <f>I200-I59/I196+'Customer Sector'!$F$108</f>
        <v>11670.322596718794</v>
      </c>
      <c r="J206" s="239">
        <f>J200-J59/J196+'Customer Sector'!$F$108</f>
        <v>11712.306586497101</v>
      </c>
      <c r="K206" s="239">
        <f>K200-K59/K196+'Customer Sector'!$F$108</f>
        <v>11754.440435088089</v>
      </c>
      <c r="L206" s="239">
        <f>L200-L59/L196+'Customer Sector'!$F$108</f>
        <v>11796.724700050454</v>
      </c>
      <c r="M206" s="239">
        <f>M200-M59/M196+'Customer Sector'!$F$108</f>
        <v>11839.159941229498</v>
      </c>
      <c r="N206" s="239">
        <f>N200-N59/N196+'Customer Sector'!$F$108</f>
        <v>11881.746720766336</v>
      </c>
      <c r="O206" s="239">
        <f>O200-O59/O196+'Customer Sector'!$F$108</f>
        <v>11924.485603107238</v>
      </c>
      <c r="P206" s="239">
        <f>P200-P59/P196+'Customer Sector'!$F$108</f>
        <v>11967.377155012889</v>
      </c>
      <c r="Q206" s="239">
        <f>Q200-Q59/Q196+'Customer Sector'!$F$108</f>
        <v>12010.421945567765</v>
      </c>
      <c r="R206" s="239">
        <f>R200-R59/R196+'Customer Sector'!$F$108</f>
        <v>12046.527060095297</v>
      </c>
      <c r="S206" s="239">
        <f>S200-S59/S196+'Customer Sector'!$F$108</f>
        <v>12082.635891213919</v>
      </c>
      <c r="T206" s="239">
        <f>T200-T59/T196+'Customer Sector'!$F$108</f>
        <v>12118.746584286851</v>
      </c>
      <c r="U206" s="239">
        <f>U200-U59/U196+'Customer Sector'!$F$108</f>
        <v>12154.857251467069</v>
      </c>
      <c r="V206" s="239">
        <f>V200-V59/V196+'Customer Sector'!$F$108</f>
        <v>12190.965971204809</v>
      </c>
      <c r="W206" s="239">
        <f>W200-W59/W196+'Customer Sector'!$F$108</f>
        <v>12227.070787748107</v>
      </c>
      <c r="X206" s="239">
        <f>X200-X59/X196+'Customer Sector'!$F$108</f>
        <v>12263.169710636208</v>
      </c>
      <c r="Y206" s="239">
        <f>Y200-Y59/Y196+'Customer Sector'!$F$108</f>
        <v>12299.260714185808</v>
      </c>
      <c r="Z206" s="239">
        <f>Z200-Z59/Z196+'Customer Sector'!$F$108</f>
        <v>12335.341736969984</v>
      </c>
      <c r="AA206" s="239">
        <f>AA200-AA59/AA196+'Customer Sector'!$F$108</f>
        <v>12371.410681289724</v>
      </c>
      <c r="AB206" s="239">
        <f>AB200-AB59/AB196+'Customer Sector'!$F$108</f>
        <v>12407.465412637948</v>
      </c>
      <c r="AC206" s="239">
        <f>AC200-AC59/AC196+'Customer Sector'!$F$108</f>
        <v>12443.50375915593</v>
      </c>
      <c r="AD206" s="239">
        <f>AD200-AD59/AD196+'Customer Sector'!$F$108</f>
        <v>12479.523511081981</v>
      </c>
      <c r="AE206" s="239">
        <f>AE200-AE59/AE196+'Customer Sector'!$F$108</f>
        <v>12515.522420192319</v>
      </c>
      <c r="AF206" s="241">
        <f>AF200-AF59/AF196+'Customer Sector'!$F$108</f>
        <v>12551.498199234031</v>
      </c>
      <c r="AH206" s="18" t="s">
        <v>109</v>
      </c>
      <c r="AI206" s="19"/>
      <c r="AJ206" s="19"/>
      <c r="AK206" s="19"/>
      <c r="AL206" s="17" t="s">
        <v>19</v>
      </c>
      <c r="AM206" s="115">
        <f>(AM202/12)*AM$16+AM204*AM29+IF('Customer Sector'!$L$59,AM110,0)</f>
        <v>1278.9784976849135</v>
      </c>
      <c r="AN206" s="115">
        <f ca="1">(AN202/12)*AN$16+AN204*AN29+IF('Customer Sector'!$L$59,AN110,0)</f>
        <v>1342.435175407853</v>
      </c>
      <c r="AO206" s="115">
        <f ca="1">(AO202/12)*AO$16+AO204*AO29+IF('Customer Sector'!$L$59,AO110,0)</f>
        <v>1393.039649446129</v>
      </c>
      <c r="AP206" s="115">
        <f ca="1">(AP202/12)*AP$16+AP204*AP29+IF('Customer Sector'!$L$59,AP110,0)</f>
        <v>1447.1261533322652</v>
      </c>
      <c r="AQ206" s="115">
        <f ca="1">(AQ202/12)*AQ$16+AQ204*AQ29+IF('Customer Sector'!$L$59,AQ110,0)</f>
        <v>1504.9211747251138</v>
      </c>
      <c r="AR206" s="115">
        <f ca="1">(AR202/12)*AR$16+AR204*AR29+IF('Customer Sector'!$L$59,AR110,0)</f>
        <v>1566.666421739782</v>
      </c>
      <c r="AS206" s="115">
        <f ca="1">(AS202/12)*AS$16+AS204*AS29+IF('Customer Sector'!$L$59,AS110,0)</f>
        <v>1632.6198949638665</v>
      </c>
      <c r="AT206" s="115">
        <f ca="1">(AT202/12)*AT$16+AT204*AT29+IF('Customer Sector'!$L$59,AT110,0)</f>
        <v>1703.0570430939797</v>
      </c>
      <c r="AU206" s="115">
        <f ca="1">(AU202/12)*AU$16+AU204*AU29+IF('Customer Sector'!$L$59,AU110,0)</f>
        <v>1778.2720102445244</v>
      </c>
      <c r="AV206" s="115">
        <f ca="1">(AV202/12)*AV$16+AV204*AV29+IF('Customer Sector'!$L$59,AV110,0)</f>
        <v>1858.5789840646157</v>
      </c>
      <c r="AW206" s="115">
        <f ca="1">(AW202/12)*AW$16+AW204*AW29+IF('Customer Sector'!$L$59,AW110,0)</f>
        <v>1944.3136550899408</v>
      </c>
      <c r="AX206" s="115">
        <f ca="1">(AX202/12)*AX$16+AX204*AX29+IF('Customer Sector'!$L$59,AX110,0)</f>
        <v>2031.4260678081207</v>
      </c>
      <c r="AY206" s="115">
        <f ca="1">(AY202/12)*AY$16+AY204*AY29+IF('Customer Sector'!$L$59,AY110,0)</f>
        <v>2126.2449322680668</v>
      </c>
      <c r="AZ206" s="115">
        <f ca="1">(AZ202/12)*AZ$16+AZ204*AZ29+IF('Customer Sector'!$L$59,AZ110,0)</f>
        <v>2227.3722766309384</v>
      </c>
      <c r="BA206" s="115">
        <f ca="1">(BA202/12)*BA$16+BA204*BA29+IF('Customer Sector'!$L$59,BA110,0)</f>
        <v>2335.213908591174</v>
      </c>
      <c r="BB206" s="115">
        <f ca="1">(BB202/12)*BB$16+BB204*BB29+IF('Customer Sector'!$L$59,BB110,0)</f>
        <v>2450.2019806543731</v>
      </c>
      <c r="BC206" s="115">
        <f ca="1">(BC202/12)*BC$16+BC204*BC29+IF('Customer Sector'!$L$59,BC110,0)</f>
        <v>2572.796706593128</v>
      </c>
      <c r="BD206" s="115">
        <f ca="1">(BD202/12)*BD$16+BD204*BD29+IF('Customer Sector'!$L$59,BD110,0)</f>
        <v>2703.4881900608289</v>
      </c>
      <c r="BE206" s="115">
        <f ca="1">(BE202/12)*BE$16+BE204*BE29+IF('Customer Sector'!$L$59,BE110,0)</f>
        <v>2842.7983727094502</v>
      </c>
      <c r="BF206" s="115">
        <f ca="1">(BF202/12)*BF$16+BF204*BF29+IF('Customer Sector'!$L$59,BF110,0)</f>
        <v>2991.2831096398645</v>
      </c>
      <c r="BG206" s="115">
        <f ca="1">(BG202/12)*BG$16+BG204*BG29+IF('Customer Sector'!$L$59,BG110,0)</f>
        <v>3149.5343805276416</v>
      </c>
      <c r="BH206" s="115">
        <f ca="1">(BH202/12)*BH$16+BH204*BH29+IF('Customer Sector'!$L$59,BH110,0)</f>
        <v>3318.1826453155068</v>
      </c>
      <c r="BI206" s="115">
        <f ca="1">(BI202/12)*BI$16+BI204*BI29+IF('Customer Sector'!$L$59,BI110,0)</f>
        <v>3497.8993539480771</v>
      </c>
      <c r="BJ206" s="115">
        <f ca="1">(BJ202/12)*BJ$16+BJ204*BJ29+IF('Customer Sector'!$L$59,BJ110,0)</f>
        <v>3689.3996202473918</v>
      </c>
      <c r="BK206" s="115">
        <f ca="1">(BK202/12)*BK$16+BK204*BK29+IF('Customer Sector'!$L$59,BK110,0)</f>
        <v>3893.4450706917723</v>
      </c>
      <c r="BL206" s="115">
        <f ca="1">(BL202/12)*BL$16+BL204*BL29+IF('Customer Sector'!$L$59,BL110,0)</f>
        <v>4110.8468795681856</v>
      </c>
    </row>
    <row r="207" spans="1:64" x14ac:dyDescent="0.25">
      <c r="B207" s="10" t="s">
        <v>107</v>
      </c>
      <c r="C207" s="11"/>
      <c r="D207" s="11"/>
      <c r="E207" s="11"/>
      <c r="F207" s="17" t="s">
        <v>19</v>
      </c>
      <c r="G207" s="240">
        <f t="shared" ref="G207:AF207" si="185">(G58-G206*G196)/G198</f>
        <v>12463.385773311866</v>
      </c>
      <c r="H207" s="240">
        <f t="shared" si="185"/>
        <v>12510.252896904774</v>
      </c>
      <c r="I207" s="240">
        <f t="shared" si="185"/>
        <v>12557.263321031825</v>
      </c>
      <c r="J207" s="240">
        <f t="shared" si="185"/>
        <v>12604.414490020612</v>
      </c>
      <c r="K207" s="240">
        <f t="shared" si="185"/>
        <v>12651.703471818249</v>
      </c>
      <c r="L207" s="240">
        <f t="shared" si="185"/>
        <v>12699.126901097281</v>
      </c>
      <c r="M207" s="240">
        <f t="shared" si="185"/>
        <v>12746.680911793001</v>
      </c>
      <c r="N207" s="240">
        <f t="shared" si="185"/>
        <v>12794.361056708993</v>
      </c>
      <c r="O207" s="240">
        <f t="shared" si="185"/>
        <v>12842.162211203906</v>
      </c>
      <c r="P207" s="240">
        <f t="shared" si="185"/>
        <v>12890.078457157062</v>
      </c>
      <c r="Q207" s="240">
        <f t="shared" si="185"/>
        <v>12938.102942335827</v>
      </c>
      <c r="R207" s="240">
        <f t="shared" si="185"/>
        <v>12986.591646467014</v>
      </c>
      <c r="S207" s="240">
        <f t="shared" si="185"/>
        <v>13035.267534975634</v>
      </c>
      <c r="T207" s="240">
        <f t="shared" si="185"/>
        <v>13084.131197338811</v>
      </c>
      <c r="U207" s="240">
        <f t="shared" si="185"/>
        <v>13133.183228824764</v>
      </c>
      <c r="V207" s="240">
        <f t="shared" si="185"/>
        <v>13182.42423037301</v>
      </c>
      <c r="W207" s="240">
        <f t="shared" si="185"/>
        <v>13231.854808480872</v>
      </c>
      <c r="X207" s="240">
        <f t="shared" si="185"/>
        <v>13281.475575095921</v>
      </c>
      <c r="Y207" s="240">
        <f t="shared" si="185"/>
        <v>13331.287147514016</v>
      </c>
      <c r="Z207" s="240">
        <f t="shared" si="185"/>
        <v>13381.290148282647</v>
      </c>
      <c r="AA207" s="240">
        <f t="shared" si="185"/>
        <v>13431.485205109315</v>
      </c>
      <c r="AB207" s="240">
        <f t="shared" si="185"/>
        <v>13481.872950774625</v>
      </c>
      <c r="AC207" s="240">
        <f t="shared" si="185"/>
        <v>13532.454023049915</v>
      </c>
      <c r="AD207" s="240">
        <f t="shared" si="185"/>
        <v>13583.229064619098</v>
      </c>
      <c r="AE207" s="240">
        <f t="shared" si="185"/>
        <v>13634.198723004587</v>
      </c>
      <c r="AF207" s="242">
        <f t="shared" si="185"/>
        <v>13685.363650496989</v>
      </c>
      <c r="AH207" s="127" t="s">
        <v>110</v>
      </c>
      <c r="AI207" s="107"/>
      <c r="AJ207" s="107"/>
      <c r="AK207" s="107"/>
      <c r="AL207" s="12" t="s">
        <v>229</v>
      </c>
      <c r="AM207" s="107">
        <f t="shared" ref="AM207:BL207" si="186">(AM205-AM$195)/AM$195</f>
        <v>0</v>
      </c>
      <c r="AN207" s="107">
        <f t="shared" ca="1" si="186"/>
        <v>-0.24215293006369373</v>
      </c>
      <c r="AO207" s="107">
        <f t="shared" ca="1" si="186"/>
        <v>-0.23483351137785233</v>
      </c>
      <c r="AP207" s="107">
        <f t="shared" ca="1" si="186"/>
        <v>-0.22762450402654852</v>
      </c>
      <c r="AQ207" s="107">
        <f t="shared" ca="1" si="186"/>
        <v>-0.22052562961662164</v>
      </c>
      <c r="AR207" s="107">
        <f t="shared" ca="1" si="186"/>
        <v>-0.21353611804818293</v>
      </c>
      <c r="AS207" s="107">
        <f t="shared" ca="1" si="186"/>
        <v>-0.20665476311871733</v>
      </c>
      <c r="AT207" s="107">
        <f t="shared" ca="1" si="186"/>
        <v>-0.19987997440099498</v>
      </c>
      <c r="AU207" s="107">
        <f t="shared" ca="1" si="186"/>
        <v>-0.19320982372940135</v>
      </c>
      <c r="AV207" s="107">
        <f t="shared" ca="1" si="186"/>
        <v>-0.18664208484560812</v>
      </c>
      <c r="AW207" s="107">
        <f t="shared" ca="1" si="186"/>
        <v>-0.18017426497866729</v>
      </c>
      <c r="AX207" s="107">
        <f t="shared" ca="1" si="186"/>
        <v>-0.18322761832269957</v>
      </c>
      <c r="AY207" s="107">
        <f t="shared" ca="1" si="186"/>
        <v>-0.18554336549632081</v>
      </c>
      <c r="AZ207" s="107">
        <f t="shared" ca="1" si="186"/>
        <v>-0.18786961828498758</v>
      </c>
      <c r="BA207" s="107">
        <f t="shared" ca="1" si="186"/>
        <v>-0.19020643767266057</v>
      </c>
      <c r="BB207" s="107">
        <f t="shared" ca="1" si="186"/>
        <v>-0.1925539394707747</v>
      </c>
      <c r="BC207" s="107">
        <f t="shared" ca="1" si="186"/>
        <v>-0.19491229107256364</v>
      </c>
      <c r="BD207" s="107">
        <f t="shared" ca="1" si="186"/>
        <v>-0.19728170794156016</v>
      </c>
      <c r="BE207" s="107">
        <f t="shared" ca="1" si="186"/>
        <v>-0.19966244991713369</v>
      </c>
      <c r="BF207" s="107">
        <f t="shared" ca="1" si="186"/>
        <v>-0.20205481741369602</v>
      </c>
      <c r="BG207" s="107">
        <f t="shared" ca="1" si="186"/>
        <v>-0.20445914758284114</v>
      </c>
      <c r="BH207" s="107">
        <f t="shared" ca="1" si="186"/>
        <v>-0.20687581049961035</v>
      </c>
      <c r="BI207" s="107">
        <f t="shared" ca="1" si="186"/>
        <v>-0.20930520542562678</v>
      </c>
      <c r="BJ207" s="107">
        <f t="shared" ca="1" si="186"/>
        <v>-0.21174775719337721</v>
      </c>
      <c r="BK207" s="107">
        <f t="shared" ca="1" si="186"/>
        <v>-0.21420391274762696</v>
      </c>
      <c r="BL207" s="114">
        <f t="shared" ca="1" si="186"/>
        <v>-0.21667413787213985</v>
      </c>
    </row>
    <row r="208" spans="1:64" x14ac:dyDescent="0.25">
      <c r="B208" s="4" t="s">
        <v>108</v>
      </c>
      <c r="C208" s="5"/>
      <c r="D208" s="5"/>
      <c r="E208" s="5"/>
      <c r="F208" s="12" t="s">
        <v>61</v>
      </c>
      <c r="G208" s="68">
        <f>(G206/12)*G$16+IF('Customer Sector'!$F$59,G110,0)</f>
        <v>124.63385773311866</v>
      </c>
      <c r="H208" s="68">
        <f ca="1">(H206/12)*H$16+IF('Customer Sector'!$F$59,H110,0)</f>
        <v>121.29386578414979</v>
      </c>
      <c r="I208" s="68">
        <f ca="1">(I206/12)*I$16+IF('Customer Sector'!$F$59,I110,0)</f>
        <v>125.0573756938325</v>
      </c>
      <c r="J208" s="68">
        <f ca="1">(J206/12)*J$16+IF('Customer Sector'!$F$59,J110,0)</f>
        <v>129.08054923254656</v>
      </c>
      <c r="K208" s="68">
        <f ca="1">(K206/12)*K$16+IF('Customer Sector'!$F$59,K110,0)</f>
        <v>133.38009092600262</v>
      </c>
      <c r="L208" s="68">
        <f ca="1">(L206/12)*L$16+IF('Customer Sector'!$F$59,L110,0)</f>
        <v>137.97377440582147</v>
      </c>
      <c r="M208" s="68">
        <f ca="1">(M206/12)*M$16+IF('Customer Sector'!$F$59,M110,0)</f>
        <v>142.88050821615488</v>
      </c>
      <c r="N208" s="68">
        <f ca="1">(N206/12)*N$16+IF('Customer Sector'!$F$59,N110,0)</f>
        <v>148.12040510201155</v>
      </c>
      <c r="O208" s="68">
        <f ca="1">(O206/12)*O$16+IF('Customer Sector'!$F$59,O110,0)</f>
        <v>153.71485483491946</v>
      </c>
      <c r="P208" s="68">
        <f ca="1">(P206/12)*P$16+IF('Customer Sector'!$F$59,P110,0)</f>
        <v>159.68660059650199</v>
      </c>
      <c r="Q208" s="68">
        <f ca="1">(Q206/12)*Q$16+IF('Customer Sector'!$F$59,Q110,0)</f>
        <v>166.05981889363451</v>
      </c>
      <c r="R208" s="68">
        <f ca="1">(R206/12)*R$16+IF('Customer Sector'!$F$59,R110,0)</f>
        <v>172.23563422069486</v>
      </c>
      <c r="S208" s="68">
        <f ca="1">(S206/12)*S$16+IF('Customer Sector'!$F$59,S110,0)</f>
        <v>179.22877581518389</v>
      </c>
      <c r="T208" s="68">
        <f ca="1">(T206/12)*T$16+IF('Customer Sector'!$F$59,T110,0)</f>
        <v>186.69715467744382</v>
      </c>
      <c r="U208" s="68">
        <f ca="1">(U206/12)*U$16+IF('Customer Sector'!$F$59,U110,0)</f>
        <v>194.67125092664909</v>
      </c>
      <c r="V208" s="68">
        <f ca="1">(V206/12)*V$16+IF('Customer Sector'!$F$59,V110,0)</f>
        <v>203.18352485823448</v>
      </c>
      <c r="W208" s="68">
        <f ca="1">(W206/12)*W$16+IF('Customer Sector'!$F$59,W110,0)</f>
        <v>212.26854598112408</v>
      </c>
      <c r="X208" s="68">
        <f ca="1">(X206/12)*X$16+IF('Customer Sector'!$F$59,X110,0)</f>
        <v>221.96313047084755</v>
      </c>
      <c r="Y208" s="68">
        <f ca="1">(Y206/12)*Y$16+IF('Customer Sector'!$F$59,Y110,0)</f>
        <v>232.30648758678356</v>
      </c>
      <c r="Z208" s="68">
        <f ca="1">(Z206/12)*Z$16+IF('Customer Sector'!$F$59,Z110,0)</f>
        <v>243.34037563743101</v>
      </c>
      <c r="AA208" s="68">
        <f ca="1">(AA206/12)*AA$16+IF('Customer Sector'!$F$59,AA110,0)</f>
        <v>255.10926811558284</v>
      </c>
      <c r="AB208" s="68">
        <f ca="1">(AB206/12)*AB$16+IF('Customer Sector'!$F$59,AB110,0)</f>
        <v>267.66053066571476</v>
      </c>
      <c r="AC208" s="68">
        <f ca="1">(AC206/12)*AC$16+IF('Customer Sector'!$F$59,AC110,0)</f>
        <v>281.04460958895856</v>
      </c>
      <c r="AD208" s="68">
        <f ca="1">(AD206/12)*AD$16+IF('Customer Sector'!$F$59,AD110,0)</f>
        <v>295.31523263686825</v>
      </c>
      <c r="AE208" s="68">
        <f ca="1">(AE206/12)*AE$16+IF('Customer Sector'!$F$59,AE110,0)</f>
        <v>310.52962289400466</v>
      </c>
      <c r="AF208" s="68">
        <f ca="1">(AF206/12)*AF$16+IF('Customer Sector'!$F$59,AF110,0)</f>
        <v>326.74872660131462</v>
      </c>
      <c r="AH208" s="128" t="s">
        <v>111</v>
      </c>
      <c r="AI208" s="70"/>
      <c r="AJ208" s="70"/>
      <c r="AK208" s="70"/>
      <c r="AL208" s="13" t="s">
        <v>19</v>
      </c>
      <c r="AM208" s="70">
        <f t="shared" ref="AM208:BL208" si="187">(AM206-AM$195)/AM$195</f>
        <v>0</v>
      </c>
      <c r="AN208" s="70">
        <f t="shared" ca="1" si="187"/>
        <v>3.8185892844277316E-3</v>
      </c>
      <c r="AO208" s="70">
        <f t="shared" ca="1" si="187"/>
        <v>4.7247038253073366E-3</v>
      </c>
      <c r="AP208" s="70">
        <f t="shared" ca="1" si="187"/>
        <v>5.6284278269276636E-3</v>
      </c>
      <c r="AQ208" s="70">
        <f t="shared" ca="1" si="187"/>
        <v>6.529981054733399E-3</v>
      </c>
      <c r="AR208" s="70">
        <f t="shared" ca="1" si="187"/>
        <v>7.4298006838495276E-3</v>
      </c>
      <c r="AS208" s="70">
        <f t="shared" ca="1" si="187"/>
        <v>8.3285521428233377E-3</v>
      </c>
      <c r="AT208" s="70">
        <f t="shared" ca="1" si="187"/>
        <v>9.2271396714617097E-3</v>
      </c>
      <c r="AU208" s="70">
        <f t="shared" ca="1" si="187"/>
        <v>1.0126716962458036E-2</v>
      </c>
      <c r="AV208" s="70">
        <f t="shared" ca="1" si="187"/>
        <v>1.1028698334910247E-2</v>
      </c>
      <c r="AW208" s="70">
        <f t="shared" ca="1" si="187"/>
        <v>1.193477097047202E-2</v>
      </c>
      <c r="AX208" s="70">
        <f t="shared" ca="1" si="187"/>
        <v>1.0653523558774188E-2</v>
      </c>
      <c r="AY208" s="70">
        <f t="shared" ca="1" si="187"/>
        <v>1.0307713895325846E-2</v>
      </c>
      <c r="AZ208" s="70">
        <f t="shared" ca="1" si="187"/>
        <v>9.9716313296138951E-3</v>
      </c>
      <c r="BA208" s="70">
        <f t="shared" ca="1" si="187"/>
        <v>9.6454283321849646E-3</v>
      </c>
      <c r="BB208" s="70">
        <f t="shared" ca="1" si="187"/>
        <v>9.3292036634835436E-3</v>
      </c>
      <c r="BC208" s="70">
        <f t="shared" ca="1" si="187"/>
        <v>9.0230056596335758E-3</v>
      </c>
      <c r="BD208" s="70">
        <f t="shared" ca="1" si="187"/>
        <v>8.7268357934995357E-3</v>
      </c>
      <c r="BE208" s="70">
        <f t="shared" ca="1" si="187"/>
        <v>8.4406524267582553E-3</v>
      </c>
      <c r="BF208" s="70">
        <f t="shared" ca="1" si="187"/>
        <v>8.1643746749602147E-3</v>
      </c>
      <c r="BG208" s="70">
        <f t="shared" ca="1" si="187"/>
        <v>7.897886314969146E-3</v>
      </c>
      <c r="BH208" s="70">
        <f t="shared" ca="1" si="187"/>
        <v>7.6410396723140695E-3</v>
      </c>
      <c r="BI208" s="70">
        <f t="shared" ca="1" si="187"/>
        <v>7.3936594345201953E-3</v>
      </c>
      <c r="BJ208" s="70">
        <f t="shared" ca="1" si="187"/>
        <v>7.1555463450774827E-3</v>
      </c>
      <c r="BK208" s="70">
        <f t="shared" ca="1" si="187"/>
        <v>6.9264807410932897E-3</v>
      </c>
      <c r="BL208" s="71">
        <f t="shared" ca="1" si="187"/>
        <v>6.7062259056290194E-3</v>
      </c>
    </row>
    <row r="209" spans="2:64" x14ac:dyDescent="0.25">
      <c r="B209" s="4" t="s">
        <v>109</v>
      </c>
      <c r="C209" s="5"/>
      <c r="D209" s="5"/>
      <c r="E209" s="5"/>
      <c r="F209" s="12" t="s">
        <v>19</v>
      </c>
      <c r="G209" s="245">
        <f>(G207/12)*G$16+IF('Customer Sector'!$F$59,G110,0)</f>
        <v>124.63385773311866</v>
      </c>
      <c r="H209" s="245">
        <f ca="1">(H207/12)*H$16+IF('Customer Sector'!$F$59,H110,0)</f>
        <v>130.49133709262924</v>
      </c>
      <c r="I209" s="245">
        <f ca="1">(I207/12)*I$16+IF('Customer Sector'!$F$59,I110,0)</f>
        <v>134.5616956009583</v>
      </c>
      <c r="J209" s="245">
        <f ca="1">(J207/12)*J$16+IF('Customer Sector'!$F$59,J110,0)</f>
        <v>138.91241089968128</v>
      </c>
      <c r="K209" s="245">
        <f ca="1">(K207/12)*K$16+IF('Customer Sector'!$F$59,K110,0)</f>
        <v>143.5615220272538</v>
      </c>
      <c r="L209" s="245">
        <f ca="1">(L207/12)*L$16+IF('Customer Sector'!$F$59,L110,0)</f>
        <v>148.52821564916246</v>
      </c>
      <c r="M209" s="245">
        <f ca="1">(M207/12)*M$16+IF('Customer Sector'!$F$59,M110,0)</f>
        <v>153.83289488333472</v>
      </c>
      <c r="N209" s="245">
        <f ca="1">(N207/12)*N$16+IF('Customer Sector'!$F$59,N110,0)</f>
        <v>159.49725131145598</v>
      </c>
      <c r="O209" s="245">
        <f ca="1">(O207/12)*O$16+IF('Customer Sector'!$F$59,O110,0)</f>
        <v>165.54434008854113</v>
      </c>
      <c r="P209" s="245">
        <f ca="1">(P207/12)*P$16+IF('Customer Sector'!$F$59,P110,0)</f>
        <v>171.99865798358366</v>
      </c>
      <c r="Q209" s="245">
        <f ca="1">(Q207/12)*Q$16+IF('Customer Sector'!$F$59,Q110,0)</f>
        <v>178.88622407844321</v>
      </c>
      <c r="R209" s="245">
        <f ca="1">(R207/12)*R$16+IF('Customer Sector'!$F$59,R110,0)</f>
        <v>185.67623991845579</v>
      </c>
      <c r="S209" s="245">
        <f ca="1">(S207/12)*S$16+IF('Customer Sector'!$F$59,S110,0)</f>
        <v>193.35971585603821</v>
      </c>
      <c r="T209" s="245">
        <f ca="1">(T207/12)*T$16+IF('Customer Sector'!$F$59,T110,0)</f>
        <v>201.56953105503703</v>
      </c>
      <c r="U209" s="245">
        <f ca="1">(U207/12)*U$16+IF('Customer Sector'!$F$59,U110,0)</f>
        <v>210.34004389443751</v>
      </c>
      <c r="V209" s="245">
        <f ca="1">(V207/12)*V$16+IF('Customer Sector'!$F$59,V110,0)</f>
        <v>219.70789087840271</v>
      </c>
      <c r="W209" s="245">
        <f ca="1">(W207/12)*W$16+IF('Customer Sector'!$F$59,W110,0)</f>
        <v>229.71213871142291</v>
      </c>
      <c r="X209" s="245">
        <f ca="1">(X207/12)*X$16+IF('Customer Sector'!$F$59,X110,0)</f>
        <v>240.39444658125427</v>
      </c>
      <c r="Y209" s="245">
        <f ca="1">(Y207/12)*Y$16+IF('Customer Sector'!$F$59,Y110,0)</f>
        <v>251.79923933784383</v>
      </c>
      <c r="Z209" s="245">
        <f ca="1">(Z207/12)*Z$16+IF('Customer Sector'!$F$59,Z110,0)</f>
        <v>263.97389230307613</v>
      </c>
      <c r="AA209" s="245">
        <f ca="1">(AA207/12)*AA$16+IF('Customer Sector'!$F$59,AA110,0)</f>
        <v>276.96892849599453</v>
      </c>
      <c r="AB209" s="245">
        <f ca="1">(AB207/12)*AB$16+IF('Customer Sector'!$F$59,AB110,0)</f>
        <v>290.83822911136099</v>
      </c>
      <c r="AC209" s="245">
        <f ca="1">(AC207/12)*AC$16+IF('Customer Sector'!$F$59,AC110,0)</f>
        <v>305.63925814625833</v>
      </c>
      <c r="AD209" s="245">
        <f ca="1">(AD207/12)*AD$16+IF('Customer Sector'!$F$59,AD110,0)</f>
        <v>321.43330213014468</v>
      </c>
      <c r="AE209" s="245">
        <f ca="1">(AE207/12)*AE$16+IF('Customer Sector'!$F$59,AE110,0)</f>
        <v>338.28572597862637</v>
      </c>
      <c r="AF209" s="245">
        <f ca="1">(AF207/12)*AF$16+IF('Customer Sector'!$F$59,AF110,0)</f>
        <v>356.26624606046619</v>
      </c>
      <c r="AH209" s="740" t="s">
        <v>230</v>
      </c>
      <c r="AI209" s="741"/>
      <c r="AJ209" s="741"/>
      <c r="AK209" s="741"/>
      <c r="AL209" s="746"/>
      <c r="AM209" s="746"/>
      <c r="AN209" s="746"/>
      <c r="AO209" s="746"/>
      <c r="AP209" s="746"/>
      <c r="AQ209" s="746"/>
      <c r="AR209" s="746"/>
      <c r="AS209" s="125"/>
      <c r="AT209" s="125"/>
      <c r="AU209" s="125"/>
      <c r="AV209" s="125"/>
      <c r="AW209" s="289"/>
      <c r="AX209" s="47"/>
      <c r="AY209" s="47"/>
      <c r="AZ209" s="47"/>
      <c r="BA209" s="47"/>
      <c r="BB209" s="47"/>
      <c r="BC209" s="47"/>
      <c r="BD209" s="47"/>
      <c r="BE209" s="47"/>
      <c r="BF209" s="47"/>
      <c r="BG209" s="47"/>
      <c r="BH209" s="47"/>
    </row>
    <row r="210" spans="2:64" x14ac:dyDescent="0.25">
      <c r="B210" s="10" t="s">
        <v>110</v>
      </c>
      <c r="C210" s="11"/>
      <c r="D210" s="11"/>
      <c r="E210" s="11"/>
      <c r="F210" s="17" t="s">
        <v>229</v>
      </c>
      <c r="G210" s="246">
        <f>(G208-(G$193+('Customer Sector'!$F$108/12)*G24))/(G$193+('Customer Sector'!$F$108/12)*G24)</f>
        <v>0</v>
      </c>
      <c r="H210" s="246">
        <f ca="1">(H208-(H$193+('Customer Sector'!$F$108/12)*H24))/(H$193+('Customer Sector'!$F$108/12)*H24)</f>
        <v>-6.5325213576347838E-2</v>
      </c>
      <c r="I210" s="246">
        <f ca="1">(I208-(I$193+('Customer Sector'!$F$108/12)*I24))/(I$193+('Customer Sector'!$F$108/12)*I24)</f>
        <v>-6.4359802765877078E-2</v>
      </c>
      <c r="J210" s="246">
        <f ca="1">(J208-(J$193+('Customer Sector'!$F$108/12)*J24))/(J$193+('Customer Sector'!$F$108/12)*J24)</f>
        <v>-6.3464831093538426E-2</v>
      </c>
      <c r="K210" s="246">
        <f ca="1">(K208-(K$193+('Customer Sector'!$F$108/12)*K24))/(K$193+('Customer Sector'!$F$108/12)*K24)</f>
        <v>-6.2640981676353569E-2</v>
      </c>
      <c r="L210" s="246">
        <f ca="1">(L208-(L$193+('Customer Sector'!$F$108/12)*L24))/(L$193+('Customer Sector'!$F$108/12)*L24)</f>
        <v>-6.1888757666820504E-2</v>
      </c>
      <c r="M210" s="246">
        <f ca="1">(M208-(M$193+('Customer Sector'!$F$108/12)*M24))/(M$193+('Customer Sector'!$F$108/12)*M24)</f>
        <v>-6.1208498070164111E-2</v>
      </c>
      <c r="N210" s="246">
        <f ca="1">(N208-(N$193+('Customer Sector'!$F$108/12)*N24))/(N$193+('Customer Sector'!$F$108/12)*N24)</f>
        <v>-6.0600397987734242E-2</v>
      </c>
      <c r="O210" s="246">
        <f ca="1">(O208-(O$193+('Customer Sector'!$F$108/12)*O24))/(O$193+('Customer Sector'!$F$108/12)*O24)</f>
        <v>-6.0064533207516882E-2</v>
      </c>
      <c r="P210" s="246">
        <f ca="1">(P208-(P$193+('Customer Sector'!$F$108/12)*P24))/(P$193+('Customer Sector'!$F$108/12)*P24)</f>
        <v>-5.9600889038080127E-2</v>
      </c>
      <c r="Q210" s="246">
        <f ca="1">(Q208-(Q$193+('Customer Sector'!$F$108/12)*Q24))/(Q$193+('Customer Sector'!$F$108/12)*Q24)</f>
        <v>-5.9209393280972848E-2</v>
      </c>
      <c r="R210" s="246">
        <f ca="1">(R208-(R$193+('Customer Sector'!$F$108/12)*R24))/(R$193+('Customer Sector'!$F$108/12)*R24)</f>
        <v>-6.2290318787597374E-2</v>
      </c>
      <c r="S210" s="246">
        <f ca="1">(S208-(S$193+('Customer Sector'!$F$108/12)*S24))/(S$193+('Customer Sector'!$F$108/12)*S24)</f>
        <v>-6.327453668223014E-2</v>
      </c>
      <c r="T210" s="246">
        <f ca="1">(T208-(T$193+('Customer Sector'!$F$108/12)*T24))/(T$193+('Customer Sector'!$F$108/12)*T24)</f>
        <v>-6.426192820641248E-2</v>
      </c>
      <c r="U210" s="246">
        <f ca="1">(U208-(U$193+('Customer Sector'!$F$108/12)*U24))/(U$193+('Customer Sector'!$F$108/12)*U24)</f>
        <v>-6.5252203822868698E-2</v>
      </c>
      <c r="V210" s="246">
        <f ca="1">(V208-(V$193+('Customer Sector'!$F$108/12)*V24))/(V$193+('Customer Sector'!$F$108/12)*V24)</f>
        <v>-6.6245114677964442E-2</v>
      </c>
      <c r="W210" s="246">
        <f ca="1">(W208-(W$193+('Customer Sector'!$F$108/12)*W24))/(W$193+('Customer Sector'!$F$108/12)*W24)</f>
        <v>-6.7240453084579058E-2</v>
      </c>
      <c r="X210" s="246">
        <f ca="1">(X208-(X$193+('Customer Sector'!$F$108/12)*X24))/(X$193+('Customer Sector'!$F$108/12)*X24)</f>
        <v>-6.8238052467546412E-2</v>
      </c>
      <c r="Y210" s="246">
        <f ca="1">(Y208-(Y$193+('Customer Sector'!$F$108/12)*Y24))/(Y$193+('Customer Sector'!$F$108/12)*Y24)</f>
        <v>-6.9237786816105124E-2</v>
      </c>
      <c r="Z210" s="246">
        <f ca="1">(Z208-(Z$193+('Customer Sector'!$F$108/12)*Z24))/(Z$193+('Customer Sector'!$F$108/12)*Z24)</f>
        <v>-7.0239569694858603E-2</v>
      </c>
      <c r="AA210" s="246">
        <f ca="1">(AA208-(AA$193+('Customer Sector'!$F$108/12)*AA24))/(AA$193+('Customer Sector'!$F$108/12)*AA24)</f>
        <v>-7.1243352869553925E-2</v>
      </c>
      <c r="AB210" s="246">
        <f ca="1">(AB208-(AB$193+('Customer Sector'!$F$108/12)*AB24))/(AB$193+('Customer Sector'!$F$108/12)*AB24)</f>
        <v>-7.2249124606651421E-2</v>
      </c>
      <c r="AC210" s="246">
        <f ca="1">(AC208-(AC$193+('Customer Sector'!$F$108/12)*AC24))/(AC$193+('Customer Sector'!$F$108/12)*AC24)</f>
        <v>-7.3256907706375829E-2</v>
      </c>
      <c r="AD210" s="246">
        <f ca="1">(AD208-(AD$193+('Customer Sector'!$F$108/12)*AD24))/(AD$193+('Customer Sector'!$F$108/12)*AD24)</f>
        <v>-7.4266757327914407E-2</v>
      </c>
      <c r="AE210" s="246">
        <f ca="1">(AE208-(AE$193+('Customer Sector'!$F$108/12)*AE24))/(AE$193+('Customer Sector'!$F$108/12)*AE24)</f>
        <v>-7.5278758662959203E-2</v>
      </c>
      <c r="AF210" s="249">
        <f ca="1">(AF208-(AF$193+('Customer Sector'!$F$108/12)*AF24))/(AF$193+('Customer Sector'!$F$108/12)*AF24)</f>
        <v>-7.629302451014941E-2</v>
      </c>
      <c r="AH210" s="10" t="s">
        <v>106</v>
      </c>
      <c r="AI210" s="11"/>
      <c r="AJ210" s="11"/>
      <c r="AK210" s="11"/>
      <c r="AL210" s="109" t="s">
        <v>62</v>
      </c>
      <c r="AM210" s="239">
        <f>AM202+'Customer Sector'!$L$108</f>
        <v>181282.31982719121</v>
      </c>
      <c r="AN210" s="239">
        <f>AN202-AN59/AN198+'Customer Sector'!$L$108</f>
        <v>139358.36874248166</v>
      </c>
      <c r="AO210" s="239">
        <f>AO202-AO59/AO198+'Customer Sector'!$L$108</f>
        <v>140316.1943903206</v>
      </c>
      <c r="AP210" s="239">
        <f>AP202-AP59/AP198+'Customer Sector'!$L$108</f>
        <v>141292.38308511686</v>
      </c>
      <c r="AQ210" s="239">
        <f>AQ202-AQ59/AQ198+'Customer Sector'!$L$108</f>
        <v>142285.46409560647</v>
      </c>
      <c r="AR210" s="239">
        <f>AR202-AR59/AR198+'Customer Sector'!$L$108</f>
        <v>143293.92213365977</v>
      </c>
      <c r="AS210" s="239">
        <f>AS202-AS59/AS198+'Customer Sector'!$L$108</f>
        <v>144316.20672464778</v>
      </c>
      <c r="AT210" s="239">
        <f>AT202-AT59/AT198+'Customer Sector'!$L$108</f>
        <v>145350.74175022377</v>
      </c>
      <c r="AU210" s="239">
        <f>AU202-AU59/AU198+'Customer Sector'!$L$108</f>
        <v>146395.93504415639</v>
      </c>
      <c r="AV210" s="239">
        <f>AV202-AV59/AV198+'Customer Sector'!$L$108</f>
        <v>147450.18792376894</v>
      </c>
      <c r="AW210" s="239">
        <f>AW202-AW59/AW198+'Customer Sector'!$L$108</f>
        <v>148511.90454381026</v>
      </c>
      <c r="AX210" s="239">
        <f>AX202-AX59/AX198+'Customer Sector'!$L$108</f>
        <v>148357.1785280451</v>
      </c>
      <c r="AY210" s="239">
        <f>AY202-AY59/AY198+'Customer Sector'!$L$108</f>
        <v>148198.05578022989</v>
      </c>
      <c r="AZ210" s="239">
        <f>AZ202-AZ59/AZ198+'Customer Sector'!$L$108</f>
        <v>148034.48169237864</v>
      </c>
      <c r="BA210" s="239">
        <f>BA202-BA59/BA198+'Customer Sector'!$L$108</f>
        <v>147866.40101805542</v>
      </c>
      <c r="BB210" s="239">
        <f>BB202-BB59/BB198+'Customer Sector'!$L$108</f>
        <v>147693.75786496128</v>
      </c>
      <c r="BC210" s="239">
        <f>BC202-BC59/BC198+'Customer Sector'!$L$108</f>
        <v>147516.49568743567</v>
      </c>
      <c r="BD210" s="239">
        <f>BD202-BD59/BD198+'Customer Sector'!$L$108</f>
        <v>147334.55727887037</v>
      </c>
      <c r="BE210" s="239">
        <f>BE202-BE59/BE198+'Customer Sector'!$L$108</f>
        <v>147147.88476403523</v>
      </c>
      <c r="BF210" s="239">
        <f>BF202-BF59/BF198+'Customer Sector'!$L$108</f>
        <v>146956.41959131544</v>
      </c>
      <c r="BG210" s="239">
        <f>BG202-BG59/BG198+'Customer Sector'!$L$108</f>
        <v>146760.10252485867</v>
      </c>
      <c r="BH210" s="239">
        <f>BH202-BH59/BH198+'Customer Sector'!$L$108</f>
        <v>146558.87363663051</v>
      </c>
      <c r="BI210" s="239">
        <f>BI202-BI59/BI198+'Customer Sector'!$L$108</f>
        <v>146352.6722983786</v>
      </c>
      <c r="BJ210" s="239">
        <f>BJ202-BJ59/BJ198+'Customer Sector'!$L$108</f>
        <v>146141.43717350269</v>
      </c>
      <c r="BK210" s="239">
        <f>BK202-BK59/BK198+'Customer Sector'!$L$108</f>
        <v>145925.10620883125</v>
      </c>
      <c r="BL210" s="241">
        <f>BL202-BL59/BL198+'Customer Sector'!$L$108</f>
        <v>145703.61662630184</v>
      </c>
    </row>
    <row r="211" spans="2:64" x14ac:dyDescent="0.25">
      <c r="B211" s="26" t="s">
        <v>111</v>
      </c>
      <c r="C211" s="29"/>
      <c r="D211" s="29"/>
      <c r="E211" s="29"/>
      <c r="F211" s="35" t="s">
        <v>19</v>
      </c>
      <c r="G211" s="247">
        <f t="shared" ref="G211:AF211" si="188">(G209-G$193)/G$193</f>
        <v>0</v>
      </c>
      <c r="H211" s="247">
        <f t="shared" ca="1" si="188"/>
        <v>5.5493065431525147E-3</v>
      </c>
      <c r="I211" s="247">
        <f t="shared" ca="1" si="188"/>
        <v>6.7485481262002942E-3</v>
      </c>
      <c r="J211" s="247">
        <f t="shared" ca="1" si="188"/>
        <v>7.8695742978300773E-3</v>
      </c>
      <c r="K211" s="247">
        <f t="shared" ca="1" si="188"/>
        <v>8.9113481799315865E-3</v>
      </c>
      <c r="L211" s="247">
        <f t="shared" ca="1" si="188"/>
        <v>9.8729958226557047E-3</v>
      </c>
      <c r="M211" s="247">
        <f t="shared" ca="1" si="188"/>
        <v>1.0753784660823036E-2</v>
      </c>
      <c r="N211" s="247">
        <f t="shared" ca="1" si="188"/>
        <v>1.1553096285700736E-2</v>
      </c>
      <c r="O211" s="247">
        <f t="shared" ca="1" si="188"/>
        <v>1.2270393405260836E-2</v>
      </c>
      <c r="P211" s="247">
        <f t="shared" ca="1" si="188"/>
        <v>1.2905180836747951E-2</v>
      </c>
      <c r="Q211" s="247">
        <f t="shared" ca="1" si="188"/>
        <v>1.3456960303149976E-2</v>
      </c>
      <c r="R211" s="247">
        <f t="shared" ca="1" si="188"/>
        <v>1.0884934063967599E-2</v>
      </c>
      <c r="S211" s="247">
        <f t="shared" ca="1" si="188"/>
        <v>1.0579738652074108E-2</v>
      </c>
      <c r="T211" s="247">
        <f t="shared" ca="1" si="188"/>
        <v>1.027937275021607E-2</v>
      </c>
      <c r="U211" s="247">
        <f t="shared" ca="1" si="188"/>
        <v>9.9842249033977055E-3</v>
      </c>
      <c r="V211" s="247">
        <f t="shared" ca="1" si="188"/>
        <v>9.6946422927208786E-3</v>
      </c>
      <c r="W211" s="247">
        <f t="shared" ca="1" si="188"/>
        <v>9.4109300795451965E-3</v>
      </c>
      <c r="X211" s="247">
        <f t="shared" ca="1" si="188"/>
        <v>9.1333513245551064E-3</v>
      </c>
      <c r="Y211" s="247">
        <f t="shared" ca="1" si="188"/>
        <v>8.8621274365405719E-3</v>
      </c>
      <c r="Z211" s="247">
        <f t="shared" ca="1" si="188"/>
        <v>8.597439097888411E-3</v>
      </c>
      <c r="AA211" s="247">
        <f t="shared" ca="1" si="188"/>
        <v>8.3394276083509928E-3</v>
      </c>
      <c r="AB211" s="247">
        <f t="shared" ca="1" si="188"/>
        <v>8.0881965854929759E-3</v>
      </c>
      <c r="AC211" s="247">
        <f t="shared" ca="1" si="188"/>
        <v>7.8438139591372122E-3</v>
      </c>
      <c r="AD211" s="247">
        <f t="shared" ca="1" si="188"/>
        <v>7.6063141979163789E-3</v>
      </c>
      <c r="AE211" s="247">
        <f t="shared" ca="1" si="188"/>
        <v>7.3757007083814956E-3</v>
      </c>
      <c r="AF211" s="250">
        <f t="shared" ca="1" si="188"/>
        <v>7.1519483507364425E-3</v>
      </c>
      <c r="AH211" s="10" t="s">
        <v>107</v>
      </c>
      <c r="AI211" s="11"/>
      <c r="AJ211" s="11"/>
      <c r="AK211" s="11"/>
      <c r="AL211" s="17" t="s">
        <v>19</v>
      </c>
      <c r="AM211" s="240">
        <f t="shared" ref="AM211:BL211" si="189">(AM58-AM210*AM198)/AM200</f>
        <v>181282.31982719121</v>
      </c>
      <c r="AN211" s="240">
        <f t="shared" si="189"/>
        <v>181533.55250166962</v>
      </c>
      <c r="AO211" s="240">
        <f t="shared" si="189"/>
        <v>181785.13335051376</v>
      </c>
      <c r="AP211" s="240">
        <f t="shared" si="189"/>
        <v>182037.06285624599</v>
      </c>
      <c r="AQ211" s="240">
        <f t="shared" si="189"/>
        <v>182289.3415020575</v>
      </c>
      <c r="AR211" s="240">
        <f t="shared" si="189"/>
        <v>182541.96977180892</v>
      </c>
      <c r="AS211" s="240">
        <f t="shared" si="189"/>
        <v>182794.94815003159</v>
      </c>
      <c r="AT211" s="240">
        <f t="shared" si="189"/>
        <v>183048.27712192835</v>
      </c>
      <c r="AU211" s="240">
        <f t="shared" si="189"/>
        <v>183301.95717337428</v>
      </c>
      <c r="AV211" s="240">
        <f t="shared" si="189"/>
        <v>183555.98879091808</v>
      </c>
      <c r="AW211" s="240">
        <f t="shared" si="189"/>
        <v>183810.37246178256</v>
      </c>
      <c r="AX211" s="240">
        <f t="shared" si="189"/>
        <v>184065.10867386582</v>
      </c>
      <c r="AY211" s="240">
        <f t="shared" si="189"/>
        <v>184320.19791574209</v>
      </c>
      <c r="AZ211" s="240">
        <f t="shared" si="189"/>
        <v>184575.64067666276</v>
      </c>
      <c r="BA211" s="240">
        <f t="shared" si="189"/>
        <v>184831.43744655719</v>
      </c>
      <c r="BB211" s="240">
        <f t="shared" si="189"/>
        <v>185087.58871603367</v>
      </c>
      <c r="BC211" s="240">
        <f t="shared" si="189"/>
        <v>185344.09497638061</v>
      </c>
      <c r="BD211" s="240">
        <f t="shared" si="189"/>
        <v>185600.95671956704</v>
      </c>
      <c r="BE211" s="240">
        <f t="shared" si="189"/>
        <v>185858.17443824394</v>
      </c>
      <c r="BF211" s="240">
        <f t="shared" si="189"/>
        <v>186115.74862574501</v>
      </c>
      <c r="BG211" s="240">
        <f t="shared" si="189"/>
        <v>186373.67977608758</v>
      </c>
      <c r="BH211" s="240">
        <f t="shared" si="189"/>
        <v>186631.96838397373</v>
      </c>
      <c r="BI211" s="240">
        <f t="shared" si="189"/>
        <v>186890.61494479096</v>
      </c>
      <c r="BJ211" s="240">
        <f t="shared" si="189"/>
        <v>187149.61995461347</v>
      </c>
      <c r="BK211" s="240">
        <f t="shared" si="189"/>
        <v>187408.98391020295</v>
      </c>
      <c r="BL211" s="242">
        <f t="shared" si="189"/>
        <v>187668.70730900936</v>
      </c>
    </row>
    <row r="212" spans="2:64" x14ac:dyDescent="0.25">
      <c r="B212" s="740" t="s">
        <v>226</v>
      </c>
      <c r="C212" s="741"/>
      <c r="D212" s="741"/>
      <c r="E212" s="741"/>
      <c r="F212" s="741"/>
      <c r="G212" s="741"/>
      <c r="H212" s="741"/>
      <c r="I212" s="741"/>
      <c r="J212" s="741"/>
      <c r="K212" s="741"/>
      <c r="L212" s="741"/>
      <c r="M212" s="253"/>
      <c r="N212" s="253"/>
      <c r="O212" s="253"/>
      <c r="P212" s="253"/>
      <c r="Q212" s="254"/>
      <c r="AH212" s="4" t="s">
        <v>108</v>
      </c>
      <c r="AI212" s="5"/>
      <c r="AJ212" s="5"/>
      <c r="AK212" s="5"/>
      <c r="AL212" s="12" t="s">
        <v>61</v>
      </c>
      <c r="AM212" s="68">
        <f>(AM210/12)*AM$16+AM203*AM29+IF('Customer Sector'!$L$59,AM110,0)</f>
        <v>1278.9784976849135</v>
      </c>
      <c r="AN212" s="68">
        <f ca="1">(AN210/12)*AN$16+AN203*AN29+IF('Customer Sector'!$L$59,AN110,0)</f>
        <v>1013.4904604501281</v>
      </c>
      <c r="AO212" s="68">
        <f ca="1">(AO210/12)*AO$16+AO203*AO29+IF('Customer Sector'!$L$59,AO110,0)</f>
        <v>1060.8948431544216</v>
      </c>
      <c r="AP212" s="68">
        <f ca="1">(AP210/12)*AP$16+AP203*AP29+IF('Customer Sector'!$L$59,AP110,0)</f>
        <v>1111.4689576064031</v>
      </c>
      <c r="AQ212" s="68">
        <f ca="1">(AQ210/12)*AQ$16+AQ203*AQ29+IF('Customer Sector'!$L$59,AQ110,0)</f>
        <v>1165.4372022940108</v>
      </c>
      <c r="AR212" s="68">
        <f ca="1">(AR210/12)*AR$16+AR203*AR29+IF('Customer Sector'!$L$59,AR110,0)</f>
        <v>1223.0396151956757</v>
      </c>
      <c r="AS212" s="68">
        <f ca="1">(AS210/12)*AS$16+AS203*AS29+IF('Customer Sector'!$L$59,AS110,0)</f>
        <v>1284.5329179211244</v>
      </c>
      <c r="AT212" s="68">
        <f ca="1">(AT210/12)*AT$16+AT203*AT29+IF('Customer Sector'!$L$59,AT110,0)</f>
        <v>1350.1916380890336</v>
      </c>
      <c r="AU212" s="68">
        <f ca="1">(AU210/12)*AU$16+AU203*AU29+IF('Customer Sector'!$L$59,AU110,0)</f>
        <v>1420.3093181383231</v>
      </c>
      <c r="AV212" s="68">
        <f ca="1">(AV210/12)*AV$16+AV203*AV29+IF('Customer Sector'!$L$59,AV110,0)</f>
        <v>1495.1998198648619</v>
      </c>
      <c r="AW212" s="68">
        <f ca="1">(AW210/12)*AW$16+AW203*AW29+IF('Customer Sector'!$L$59,AW110,0)</f>
        <v>1575.1987352578451</v>
      </c>
      <c r="AX212" s="68">
        <f ca="1">(AX210/12)*AX$16+AX203*AX29+IF('Customer Sector'!$L$59,AX110,0)</f>
        <v>1641.7225774491658</v>
      </c>
      <c r="AY212" s="68">
        <f ca="1">(AY210/12)*AY$16+AY203*AY29+IF('Customer Sector'!$L$59,AY110,0)</f>
        <v>1714.0661878040173</v>
      </c>
      <c r="AZ212" s="68">
        <f ca="1">(AZ210/12)*AZ$16+AZ203*AZ29+IF('Customer Sector'!$L$59,AZ110,0)</f>
        <v>1791.056937767951</v>
      </c>
      <c r="BA212" s="68">
        <f ca="1">(BA210/12)*BA$16+BA203*BA29+IF('Customer Sector'!$L$59,BA110,0)</f>
        <v>1872.9755385097653</v>
      </c>
      <c r="BB212" s="68">
        <f ca="1">(BB210/12)*BB$16+BB203*BB29+IF('Customer Sector'!$L$59,BB110,0)</f>
        <v>1960.1195819950644</v>
      </c>
      <c r="BC212" s="68">
        <f ca="1">(BC210/12)*BC$16+BC203*BC29+IF('Customer Sector'!$L$59,BC110,0)</f>
        <v>2052.8045390729385</v>
      </c>
      <c r="BD212" s="68">
        <f ca="1">(BD210/12)*BD$16+BD203*BD29+IF('Customer Sector'!$L$59,BD110,0)</f>
        <v>2151.364815052912</v>
      </c>
      <c r="BE212" s="68">
        <f ca="1">(BE210/12)*BE$16+BE203*BE29+IF('Customer Sector'!$L$59,BE110,0)</f>
        <v>2256.1548659494219</v>
      </c>
      <c r="BF212" s="68">
        <f ca="1">(BF210/12)*BF$16+BF203*BF29+IF('Customer Sector'!$L$59,BF110,0)</f>
        <v>2367.5503787350717</v>
      </c>
      <c r="BG212" s="68">
        <f ca="1">(BG210/12)*BG$16+BG203*BG29+IF('Customer Sector'!$L$59,BG110,0)</f>
        <v>2485.9495191153828</v>
      </c>
      <c r="BH212" s="68">
        <f ca="1">(BH210/12)*BH$16+BH203*BH29+IF('Customer Sector'!$L$59,BH110,0)</f>
        <v>2611.774250516793</v>
      </c>
      <c r="BI212" s="68">
        <f ca="1">(BI210/12)*BI$16+BI203*BI29+IF('Customer Sector'!$L$59,BI110,0)</f>
        <v>2745.4717281666399</v>
      </c>
      <c r="BJ212" s="68">
        <f ca="1">(BJ210/12)*BJ$16+BJ203*BJ29+IF('Customer Sector'!$L$59,BJ110,0)</f>
        <v>2887.5157723387965</v>
      </c>
      <c r="BK212" s="68">
        <f ca="1">(BK210/12)*BK$16+BK203*BK29+IF('Customer Sector'!$L$59,BK110,0)</f>
        <v>3038.4084250420046</v>
      </c>
      <c r="BL212" s="68">
        <f ca="1">(BL210/12)*BL$16+BL203*BL29+IF('Customer Sector'!$L$59,BL110,0)</f>
        <v>3198.6815946395423</v>
      </c>
    </row>
    <row r="213" spans="2:64" x14ac:dyDescent="0.25">
      <c r="B213" s="31" t="s">
        <v>112</v>
      </c>
      <c r="C213" s="32"/>
      <c r="D213" s="32"/>
      <c r="E213" s="32"/>
      <c r="F213" s="109" t="s">
        <v>229</v>
      </c>
      <c r="G213" s="255">
        <f t="shared" ref="G213:AF213" si="190">G194</f>
        <v>0</v>
      </c>
      <c r="H213" s="255">
        <f t="shared" ca="1" si="190"/>
        <v>3.3187255252113642E-3</v>
      </c>
      <c r="I213" s="255">
        <f t="shared" ca="1" si="190"/>
        <v>2.2957073010191325E-3</v>
      </c>
      <c r="J213" s="255">
        <f t="shared" ca="1" si="190"/>
        <v>1.2035153577769292E-3</v>
      </c>
      <c r="K213" s="255">
        <f t="shared" ca="1" si="190"/>
        <v>4.1861540188949783E-5</v>
      </c>
      <c r="L213" s="255">
        <f t="shared" ca="1" si="190"/>
        <v>-1.1893493693257249E-3</v>
      </c>
      <c r="M213" s="255">
        <f t="shared" ca="1" si="190"/>
        <v>-2.4900384340266844E-3</v>
      </c>
      <c r="N213" s="255">
        <f t="shared" ca="1" si="190"/>
        <v>-3.8599758062784657E-3</v>
      </c>
      <c r="O213" s="255">
        <f t="shared" ca="1" si="190"/>
        <v>-5.2988082851545097E-3</v>
      </c>
      <c r="P213" s="255">
        <f t="shared" ca="1" si="190"/>
        <v>-6.8060910189451703E-3</v>
      </c>
      <c r="Q213" s="255">
        <f t="shared" ca="1" si="190"/>
        <v>-8.3813231849306728E-3</v>
      </c>
      <c r="R213" s="255">
        <f t="shared" ca="1" si="190"/>
        <v>-1.088424237060461E-2</v>
      </c>
      <c r="S213" s="255">
        <f t="shared" ca="1" si="190"/>
        <v>-1.1169599442069307E-2</v>
      </c>
      <c r="T213" s="255">
        <f t="shared" ca="1" si="190"/>
        <v>-1.1450641306770089E-2</v>
      </c>
      <c r="U213" s="255">
        <f t="shared" ca="1" si="190"/>
        <v>-1.1726976070521278E-2</v>
      </c>
      <c r="V213" s="255">
        <f t="shared" ca="1" si="190"/>
        <v>-1.1998252684809136E-2</v>
      </c>
      <c r="W213" s="255">
        <f t="shared" ca="1" si="190"/>
        <v>-1.2264161576748188E-2</v>
      </c>
      <c r="X213" s="255">
        <f t="shared" ca="1" si="190"/>
        <v>-1.2524434716963398E-2</v>
      </c>
      <c r="Y213" s="255">
        <f t="shared" ca="1" si="190"/>
        <v>-1.277884516954382E-2</v>
      </c>
      <c r="Z213" s="255">
        <f t="shared" ca="1" si="190"/>
        <v>-1.3027206175876443E-2</v>
      </c>
      <c r="AA213" s="255">
        <f t="shared" ca="1" si="190"/>
        <v>-1.3269369829490292E-2</v>
      </c>
      <c r="AB213" s="255">
        <f t="shared" ca="1" si="190"/>
        <v>-1.3505225402150546E-2</v>
      </c>
      <c r="AC213" s="255">
        <f t="shared" ca="1" si="190"/>
        <v>-1.3734697382500912E-2</v>
      </c>
      <c r="AD213" s="255">
        <f t="shared" ca="1" si="190"/>
        <v>-1.3957743287807006E-2</v>
      </c>
      <c r="AE213" s="255">
        <f t="shared" ca="1" si="190"/>
        <v>-1.4174351307046541E-2</v>
      </c>
      <c r="AF213" s="256">
        <f t="shared" ca="1" si="190"/>
        <v>-1.4384537830075372E-2</v>
      </c>
      <c r="AH213" s="4" t="s">
        <v>109</v>
      </c>
      <c r="AI213" s="5"/>
      <c r="AJ213" s="5"/>
      <c r="AK213" s="5"/>
      <c r="AL213" s="12" t="s">
        <v>19</v>
      </c>
      <c r="AM213" s="245">
        <f>(AM211/12)*AM$16+AM204*AM29+IF('Customer Sector'!$L$59,AM110,0)</f>
        <v>1278.9784976849135</v>
      </c>
      <c r="AN213" s="245">
        <f ca="1">(AN211/12)*AN$16+AN204*AN29+IF('Customer Sector'!$L$59,AN110,0)</f>
        <v>1342.435175407853</v>
      </c>
      <c r="AO213" s="245">
        <f ca="1">(AO211/12)*AO$16+AO204*AO29+IF('Customer Sector'!$L$59,AO110,0)</f>
        <v>1393.039649446129</v>
      </c>
      <c r="AP213" s="245">
        <f ca="1">(AP211/12)*AP$16+AP204*AP29+IF('Customer Sector'!$L$59,AP110,0)</f>
        <v>1447.1261533322652</v>
      </c>
      <c r="AQ213" s="245">
        <f ca="1">(AQ211/12)*AQ$16+AQ204*AQ29+IF('Customer Sector'!$L$59,AQ110,0)</f>
        <v>1504.9211747251138</v>
      </c>
      <c r="AR213" s="245">
        <f ca="1">(AR211/12)*AR$16+AR204*AR29+IF('Customer Sector'!$L$59,AR110,0)</f>
        <v>1566.6664217397818</v>
      </c>
      <c r="AS213" s="245">
        <f ca="1">(AS211/12)*AS$16+AS204*AS29+IF('Customer Sector'!$L$59,AS110,0)</f>
        <v>1632.6198949638665</v>
      </c>
      <c r="AT213" s="245">
        <f ca="1">(AT211/12)*AT$16+AT204*AT29+IF('Customer Sector'!$L$59,AT110,0)</f>
        <v>1703.0570430939797</v>
      </c>
      <c r="AU213" s="245">
        <f ca="1">(AU211/12)*AU$16+AU204*AU29+IF('Customer Sector'!$L$59,AU110,0)</f>
        <v>1778.2720102445244</v>
      </c>
      <c r="AV213" s="245">
        <f ca="1">(AV211/12)*AV$16+AV204*AV29+IF('Customer Sector'!$L$59,AV110,0)</f>
        <v>1858.5789840646162</v>
      </c>
      <c r="AW213" s="245">
        <f ca="1">(AW211/12)*AW$16+AW204*AW29+IF('Customer Sector'!$L$59,AW110,0)</f>
        <v>1944.3136550899408</v>
      </c>
      <c r="AX213" s="245">
        <f ca="1">(AX211/12)*AX$16+AX204*AX29+IF('Customer Sector'!$L$59,AX110,0)</f>
        <v>2031.4260678081207</v>
      </c>
      <c r="AY213" s="245">
        <f ca="1">(AY211/12)*AY$16+AY204*AY29+IF('Customer Sector'!$L$59,AY110,0)</f>
        <v>2126.2449322680668</v>
      </c>
      <c r="AZ213" s="245">
        <f ca="1">(AZ211/12)*AZ$16+AZ204*AZ29+IF('Customer Sector'!$L$59,AZ110,0)</f>
        <v>2227.3722766309384</v>
      </c>
      <c r="BA213" s="245">
        <f ca="1">(BA211/12)*BA$16+BA204*BA29+IF('Customer Sector'!$L$59,BA110,0)</f>
        <v>2335.213908591174</v>
      </c>
      <c r="BB213" s="245">
        <f ca="1">(BB211/12)*BB$16+BB204*BB29+IF('Customer Sector'!$L$59,BB110,0)</f>
        <v>2450.2019806543726</v>
      </c>
      <c r="BC213" s="245">
        <f ca="1">(BC211/12)*BC$16+BC204*BC29+IF('Customer Sector'!$L$59,BC110,0)</f>
        <v>2572.796706593128</v>
      </c>
      <c r="BD213" s="245">
        <f ca="1">(BD211/12)*BD$16+BD204*BD29+IF('Customer Sector'!$L$59,BD110,0)</f>
        <v>2703.4881900608289</v>
      </c>
      <c r="BE213" s="245">
        <f ca="1">(BE211/12)*BE$16+BE204*BE29+IF('Customer Sector'!$L$59,BE110,0)</f>
        <v>2842.7983727094497</v>
      </c>
      <c r="BF213" s="245">
        <f ca="1">(BF211/12)*BF$16+BF204*BF29+IF('Customer Sector'!$L$59,BF110,0)</f>
        <v>2991.2831096398641</v>
      </c>
      <c r="BG213" s="245">
        <f ca="1">(BG211/12)*BG$16+BG204*BG29+IF('Customer Sector'!$L$59,BG110,0)</f>
        <v>3149.5343805276416</v>
      </c>
      <c r="BH213" s="245">
        <f ca="1">(BH211/12)*BH$16+BH204*BH29+IF('Customer Sector'!$L$59,BH110,0)</f>
        <v>3318.1826453155072</v>
      </c>
      <c r="BI213" s="245">
        <f ca="1">(BI211/12)*BI$16+BI204*BI29+IF('Customer Sector'!$L$59,BI110,0)</f>
        <v>3497.8993539480775</v>
      </c>
      <c r="BJ213" s="245">
        <f ca="1">(BJ211/12)*BJ$16+BJ204*BJ29+IF('Customer Sector'!$L$59,BJ110,0)</f>
        <v>3689.3996202473918</v>
      </c>
      <c r="BK213" s="245">
        <f ca="1">(BK211/12)*BK$16+BK204*BK29+IF('Customer Sector'!$L$59,BK110,0)</f>
        <v>3893.4450706917723</v>
      </c>
      <c r="BL213" s="245">
        <f ca="1">(BL211/12)*BL$16+BL204*BL29+IF('Customer Sector'!$L$59,BL110,0)</f>
        <v>4110.8468795681847</v>
      </c>
    </row>
    <row r="214" spans="2:64" x14ac:dyDescent="0.25">
      <c r="B214" s="10"/>
      <c r="C214" s="11" t="s">
        <v>227</v>
      </c>
      <c r="D214" s="11"/>
      <c r="E214" s="11"/>
      <c r="F214" s="17" t="s">
        <v>19</v>
      </c>
      <c r="G214" s="246">
        <f>IF('Customer Sector'!$F$108&gt;0,G210,G203)</f>
        <v>0</v>
      </c>
      <c r="H214" s="246">
        <f ca="1">IF('Customer Sector'!$F$108&gt;0,H210,H203)</f>
        <v>-6.5325213576347838E-2</v>
      </c>
      <c r="I214" s="246">
        <f ca="1">IF('Customer Sector'!$F$108&gt;0,I210,I203)</f>
        <v>-6.4359802765877078E-2</v>
      </c>
      <c r="J214" s="246">
        <f ca="1">IF('Customer Sector'!$F$108&gt;0,J210,J203)</f>
        <v>-6.3464831093538426E-2</v>
      </c>
      <c r="K214" s="246">
        <f ca="1">IF('Customer Sector'!$F$108&gt;0,K210,K203)</f>
        <v>-6.2640981676353569E-2</v>
      </c>
      <c r="L214" s="246">
        <f ca="1">IF('Customer Sector'!$F$108&gt;0,L210,L203)</f>
        <v>-6.1888757666820504E-2</v>
      </c>
      <c r="M214" s="246">
        <f ca="1">IF('Customer Sector'!$F$108&gt;0,M210,M203)</f>
        <v>-6.1208498070164111E-2</v>
      </c>
      <c r="N214" s="246">
        <f ca="1">IF('Customer Sector'!$F$108&gt;0,N210,N203)</f>
        <v>-6.0600397987734242E-2</v>
      </c>
      <c r="O214" s="246">
        <f ca="1">IF('Customer Sector'!$F$108&gt;0,O210,O203)</f>
        <v>-6.0064533207516882E-2</v>
      </c>
      <c r="P214" s="246">
        <f ca="1">IF('Customer Sector'!$F$108&gt;0,P210,P203)</f>
        <v>-5.9600889038080127E-2</v>
      </c>
      <c r="Q214" s="246">
        <f ca="1">IF('Customer Sector'!$F$108&gt;0,Q210,Q203)</f>
        <v>-5.9209393280972848E-2</v>
      </c>
      <c r="R214" s="246">
        <f ca="1">IF('Customer Sector'!$F$108&gt;0,R210,R203)</f>
        <v>-6.2290318787597374E-2</v>
      </c>
      <c r="S214" s="246">
        <f ca="1">IF('Customer Sector'!$F$108&gt;0,S210,S203)</f>
        <v>-6.327453668223014E-2</v>
      </c>
      <c r="T214" s="246">
        <f ca="1">IF('Customer Sector'!$F$108&gt;0,T210,T203)</f>
        <v>-6.426192820641248E-2</v>
      </c>
      <c r="U214" s="246">
        <f ca="1">IF('Customer Sector'!$F$108&gt;0,U210,U203)</f>
        <v>-6.5252203822868698E-2</v>
      </c>
      <c r="V214" s="246">
        <f ca="1">IF('Customer Sector'!$F$108&gt;0,V210,V203)</f>
        <v>-6.6245114677964442E-2</v>
      </c>
      <c r="W214" s="246">
        <f ca="1">IF('Customer Sector'!$F$108&gt;0,W210,W203)</f>
        <v>-6.7240453084579058E-2</v>
      </c>
      <c r="X214" s="246">
        <f ca="1">IF('Customer Sector'!$F$108&gt;0,X210,X203)</f>
        <v>-6.8238052467546412E-2</v>
      </c>
      <c r="Y214" s="246">
        <f ca="1">IF('Customer Sector'!$F$108&gt;0,Y210,Y203)</f>
        <v>-6.9237786816105124E-2</v>
      </c>
      <c r="Z214" s="246">
        <f ca="1">IF('Customer Sector'!$F$108&gt;0,Z210,Z203)</f>
        <v>-7.0239569694858603E-2</v>
      </c>
      <c r="AA214" s="246">
        <f ca="1">IF('Customer Sector'!$F$108&gt;0,AA210,AA203)</f>
        <v>-7.1243352869553925E-2</v>
      </c>
      <c r="AB214" s="246">
        <f ca="1">IF('Customer Sector'!$F$108&gt;0,AB210,AB203)</f>
        <v>-7.2249124606651421E-2</v>
      </c>
      <c r="AC214" s="246">
        <f ca="1">IF('Customer Sector'!$F$108&gt;0,AC210,AC203)</f>
        <v>-7.3256907706375829E-2</v>
      </c>
      <c r="AD214" s="246">
        <f ca="1">IF('Customer Sector'!$F$108&gt;0,AD210,AD203)</f>
        <v>-7.4266757327914407E-2</v>
      </c>
      <c r="AE214" s="246">
        <f ca="1">IF('Customer Sector'!$F$108&gt;0,AE210,AE203)</f>
        <v>-7.5278758662959203E-2</v>
      </c>
      <c r="AF214" s="249">
        <f ca="1">IF('Customer Sector'!$F$108&gt;0,AF210,AF203)</f>
        <v>-7.629302451014941E-2</v>
      </c>
      <c r="AH214" s="10" t="s">
        <v>110</v>
      </c>
      <c r="AI214" s="11"/>
      <c r="AJ214" s="11"/>
      <c r="AK214" s="11"/>
      <c r="AL214" s="17" t="s">
        <v>229</v>
      </c>
      <c r="AM214" s="246">
        <f>(AM212-(AM$195+('Customer Sector'!$L$108/12)*AM24))/(AM$195+('Customer Sector'!$L$108/12)*AM24)</f>
        <v>0</v>
      </c>
      <c r="AN214" s="246">
        <f ca="1">(AN212-(AN$195+('Customer Sector'!$L$108/12)*AN24))/(AN$195+('Customer Sector'!$L$108/12)*AN24)</f>
        <v>-0.24215293006369373</v>
      </c>
      <c r="AO214" s="246">
        <f ca="1">(AO212-(AO$195+('Customer Sector'!$L$108/12)*AO24))/(AO$195+('Customer Sector'!$L$108/12)*AO24)</f>
        <v>-0.23483351137785233</v>
      </c>
      <c r="AP214" s="246">
        <f ca="1">(AP212-(AP$195+('Customer Sector'!$L$108/12)*AP24))/(AP$195+('Customer Sector'!$L$108/12)*AP24)</f>
        <v>-0.22762450402654852</v>
      </c>
      <c r="AQ214" s="246">
        <f ca="1">(AQ212-(AQ$195+('Customer Sector'!$L$108/12)*AQ24))/(AQ$195+('Customer Sector'!$L$108/12)*AQ24)</f>
        <v>-0.22052562961662164</v>
      </c>
      <c r="AR214" s="246">
        <f ca="1">(AR212-(AR$195+('Customer Sector'!$L$108/12)*AR24))/(AR$195+('Customer Sector'!$L$108/12)*AR24)</f>
        <v>-0.21353611804818293</v>
      </c>
      <c r="AS214" s="246">
        <f ca="1">(AS212-(AS$195+('Customer Sector'!$L$108/12)*AS24))/(AS$195+('Customer Sector'!$L$108/12)*AS24)</f>
        <v>-0.20665476311871733</v>
      </c>
      <c r="AT214" s="246">
        <f ca="1">(AT212-(AT$195+('Customer Sector'!$L$108/12)*AT24))/(AT$195+('Customer Sector'!$L$108/12)*AT24)</f>
        <v>-0.19987997440099498</v>
      </c>
      <c r="AU214" s="246">
        <f ca="1">(AU212-(AU$195+('Customer Sector'!$L$108/12)*AU24))/(AU$195+('Customer Sector'!$L$108/12)*AU24)</f>
        <v>-0.19320982372940135</v>
      </c>
      <c r="AV214" s="246">
        <f ca="1">(AV212-(AV$195+('Customer Sector'!$L$108/12)*AV24))/(AV$195+('Customer Sector'!$L$108/12)*AV24)</f>
        <v>-0.18664208484560812</v>
      </c>
      <c r="AW214" s="246">
        <f ca="1">(AW212-(AW$195+('Customer Sector'!$L$108/12)*AW24))/(AW$195+('Customer Sector'!$L$108/12)*AW24)</f>
        <v>-0.18017426497866729</v>
      </c>
      <c r="AX214" s="246">
        <f ca="1">(AX212-(AX$195+('Customer Sector'!$L$108/12)*AX24))/(AX$195+('Customer Sector'!$L$108/12)*AX24)</f>
        <v>-0.18322761832269957</v>
      </c>
      <c r="AY214" s="246">
        <f ca="1">(AY212-(AY$195+('Customer Sector'!$L$108/12)*AY24))/(AY$195+('Customer Sector'!$L$108/12)*AY24)</f>
        <v>-0.18554336549632081</v>
      </c>
      <c r="AZ214" s="246">
        <f ca="1">(AZ212-(AZ$195+('Customer Sector'!$L$108/12)*AZ24))/(AZ$195+('Customer Sector'!$L$108/12)*AZ24)</f>
        <v>-0.18786961828498758</v>
      </c>
      <c r="BA214" s="246">
        <f ca="1">(BA212-(BA$195+('Customer Sector'!$L$108/12)*BA24))/(BA$195+('Customer Sector'!$L$108/12)*BA24)</f>
        <v>-0.19020643767266057</v>
      </c>
      <c r="BB214" s="246">
        <f ca="1">(BB212-(BB$195+('Customer Sector'!$L$108/12)*BB24))/(BB$195+('Customer Sector'!$L$108/12)*BB24)</f>
        <v>-0.1925539394707747</v>
      </c>
      <c r="BC214" s="246">
        <f ca="1">(BC212-(BC$195+('Customer Sector'!$L$108/12)*BC24))/(BC$195+('Customer Sector'!$L$108/12)*BC24)</f>
        <v>-0.19491229107256364</v>
      </c>
      <c r="BD214" s="246">
        <f ca="1">(BD212-(BD$195+('Customer Sector'!$L$108/12)*BD24))/(BD$195+('Customer Sector'!$L$108/12)*BD24)</f>
        <v>-0.19728170794156016</v>
      </c>
      <c r="BE214" s="246">
        <f ca="1">(BE212-(BE$195+('Customer Sector'!$L$108/12)*BE24))/(BE$195+('Customer Sector'!$L$108/12)*BE24)</f>
        <v>-0.19966244991713369</v>
      </c>
      <c r="BF214" s="246">
        <f ca="1">(BF212-(BF$195+('Customer Sector'!$L$108/12)*BF24))/(BF$195+('Customer Sector'!$L$108/12)*BF24)</f>
        <v>-0.20205481741369602</v>
      </c>
      <c r="BG214" s="246">
        <f ca="1">(BG212-(BG$195+('Customer Sector'!$L$108/12)*BG24))/(BG$195+('Customer Sector'!$L$108/12)*BG24)</f>
        <v>-0.20445914758284114</v>
      </c>
      <c r="BH214" s="246">
        <f ca="1">(BH212-(BH$195+('Customer Sector'!$L$108/12)*BH24))/(BH$195+('Customer Sector'!$L$108/12)*BH24)</f>
        <v>-0.20687581049961035</v>
      </c>
      <c r="BI214" s="246">
        <f ca="1">(BI212-(BI$195+('Customer Sector'!$L$108/12)*BI24))/(BI$195+('Customer Sector'!$L$108/12)*BI24)</f>
        <v>-0.20930520542562678</v>
      </c>
      <c r="BJ214" s="246">
        <f ca="1">(BJ212-(BJ$195+('Customer Sector'!$L$108/12)*BJ24))/(BJ$195+('Customer Sector'!$L$108/12)*BJ24)</f>
        <v>-0.21174775719337721</v>
      </c>
      <c r="BK214" s="246">
        <f ca="1">(BK212-(BK$195+('Customer Sector'!$L$108/12)*BK24))/(BK$195+('Customer Sector'!$L$108/12)*BK24)</f>
        <v>-0.21420391274762696</v>
      </c>
      <c r="BL214" s="249">
        <f ca="1">(BL212-(BL$195+('Customer Sector'!$L$108/12)*BL24))/(BL$195+('Customer Sector'!$L$108/12)*BL24)</f>
        <v>-0.21667413787213985</v>
      </c>
    </row>
    <row r="215" spans="2:64" x14ac:dyDescent="0.25">
      <c r="B215" s="10"/>
      <c r="C215" s="11" t="s">
        <v>228</v>
      </c>
      <c r="D215" s="11"/>
      <c r="E215" s="11"/>
      <c r="F215" s="431" t="s">
        <v>19</v>
      </c>
      <c r="G215" s="246">
        <f>IF('Customer Sector'!$F$108&gt;0,G211,G204)</f>
        <v>0</v>
      </c>
      <c r="H215" s="246">
        <f ca="1">IF('Customer Sector'!$F$108&gt;0,H211,H204)</f>
        <v>5.5889925732751549E-3</v>
      </c>
      <c r="I215" s="246">
        <f ca="1">IF('Customer Sector'!$F$108&gt;0,I211,I204)</f>
        <v>6.8306573393103068E-3</v>
      </c>
      <c r="J215" s="246">
        <f ca="1">IF('Customer Sector'!$F$108&gt;0,J211,J204)</f>
        <v>7.997071433124732E-3</v>
      </c>
      <c r="K215" s="246">
        <f ca="1">IF('Customer Sector'!$F$108&gt;0,K211,K204)</f>
        <v>9.0874517668145371E-3</v>
      </c>
      <c r="L215" s="246">
        <f ca="1">IF('Customer Sector'!$F$108&gt;0,L211,L204)</f>
        <v>1.010120835596515E-2</v>
      </c>
      <c r="M215" s="246">
        <f ca="1">IF('Customer Sector'!$F$108&gt;0,M211,M204)</f>
        <v>1.1037927481690567E-2</v>
      </c>
      <c r="N215" s="246">
        <f ca="1">IF('Customer Sector'!$F$108&gt;0,N211,N204)</f>
        <v>1.1897350064710537E-2</v>
      </c>
      <c r="O215" s="246">
        <f ca="1">IF('Customer Sector'!$F$108&gt;0,O211,O204)</f>
        <v>1.2679345329794386E-2</v>
      </c>
      <c r="P215" s="246">
        <f ca="1">IF('Customer Sector'!$F$108&gt;0,P211,P204)</f>
        <v>1.3383879865600606E-2</v>
      </c>
      <c r="Q215" s="246">
        <f ca="1">IF('Customer Sector'!$F$108&gt;0,Q211,Q204)</f>
        <v>1.4010982186493198E-2</v>
      </c>
      <c r="R215" s="246">
        <f ca="1">IF('Customer Sector'!$F$108&gt;0,R211,R204)</f>
        <v>1.1490205744647781E-2</v>
      </c>
      <c r="S215" s="246">
        <f ca="1">IF('Customer Sector'!$F$108&gt;0,S211,S204)</f>
        <v>1.123704661781013E-2</v>
      </c>
      <c r="T215" s="246">
        <f ca="1">IF('Customer Sector'!$F$108&gt;0,T211,T204)</f>
        <v>1.0988279816044775E-2</v>
      </c>
      <c r="U215" s="246">
        <f ca="1">IF('Customer Sector'!$F$108&gt;0,U211,U204)</f>
        <v>1.0744306649253514E-2</v>
      </c>
      <c r="V215" s="246">
        <f ca="1">IF('Customer Sector'!$F$108&gt;0,V211,V204)</f>
        <v>1.0505486712645814E-2</v>
      </c>
      <c r="W215" s="246">
        <f ca="1">IF('Customer Sector'!$F$108&gt;0,W211,W204)</f>
        <v>1.0272137234428722E-2</v>
      </c>
      <c r="X215" s="246">
        <f ca="1">IF('Customer Sector'!$F$108&gt;0,X211,X204)</f>
        <v>1.0044532998272975E-2</v>
      </c>
      <c r="Y215" s="246">
        <f ca="1">IF('Customer Sector'!$F$108&gt;0,Y211,Y204)</f>
        <v>9.8229067955440796E-3</v>
      </c>
      <c r="Z215" s="246">
        <f ca="1">IF('Customer Sector'!$F$108&gt;0,Z211,Z204)</f>
        <v>9.6074503544502053E-3</v>
      </c>
      <c r="AA215" s="246">
        <f ca="1">IF('Customer Sector'!$F$108&gt;0,AA211,AA204)</f>
        <v>9.3983156877878397E-3</v>
      </c>
      <c r="AB215" s="246">
        <f ca="1">IF('Customer Sector'!$F$108&gt;0,AB211,AB204)</f>
        <v>9.195616797776562E-3</v>
      </c>
      <c r="AC215" s="246">
        <f ca="1">IF('Customer Sector'!$F$108&gt;0,AC211,AC204)</f>
        <v>8.9994316753560667E-3</v>
      </c>
      <c r="AD215" s="246">
        <f ca="1">IF('Customer Sector'!$F$108&gt;0,AD211,AD204)</f>
        <v>8.809804532088801E-3</v>
      </c>
      <c r="AE215" s="246">
        <f ca="1">IF('Customer Sector'!$F$108&gt;0,AE211,AE204)</f>
        <v>8.6267482051226793E-3</v>
      </c>
      <c r="AF215" s="249">
        <f ca="1">IF('Customer Sector'!$F$108&gt;0,AF211,AF204)</f>
        <v>8.4502466792743293E-3</v>
      </c>
      <c r="AH215" s="26" t="s">
        <v>111</v>
      </c>
      <c r="AI215" s="29"/>
      <c r="AJ215" s="29"/>
      <c r="AK215" s="29"/>
      <c r="AL215" s="35" t="s">
        <v>19</v>
      </c>
      <c r="AM215" s="247">
        <f t="shared" ref="AM215:BL215" si="191">(AM213-AM$195)/AM$195</f>
        <v>0</v>
      </c>
      <c r="AN215" s="247">
        <f t="shared" ca="1" si="191"/>
        <v>3.8185892844277316E-3</v>
      </c>
      <c r="AO215" s="247">
        <f t="shared" ca="1" si="191"/>
        <v>4.7247038253073366E-3</v>
      </c>
      <c r="AP215" s="247">
        <f t="shared" ca="1" si="191"/>
        <v>5.6284278269276636E-3</v>
      </c>
      <c r="AQ215" s="247">
        <f t="shared" ca="1" si="191"/>
        <v>6.529981054733399E-3</v>
      </c>
      <c r="AR215" s="247">
        <f t="shared" ca="1" si="191"/>
        <v>7.4298006838493819E-3</v>
      </c>
      <c r="AS215" s="247">
        <f t="shared" ca="1" si="191"/>
        <v>8.3285521428233377E-3</v>
      </c>
      <c r="AT215" s="247">
        <f t="shared" ca="1" si="191"/>
        <v>9.2271396714617097E-3</v>
      </c>
      <c r="AU215" s="247">
        <f t="shared" ca="1" si="191"/>
        <v>1.0126716962458036E-2</v>
      </c>
      <c r="AV215" s="247">
        <f t="shared" ca="1" si="191"/>
        <v>1.1028698334910495E-2</v>
      </c>
      <c r="AW215" s="247">
        <f t="shared" ca="1" si="191"/>
        <v>1.193477097047202E-2</v>
      </c>
      <c r="AX215" s="247">
        <f t="shared" ca="1" si="191"/>
        <v>1.0653523558774188E-2</v>
      </c>
      <c r="AY215" s="247">
        <f t="shared" ca="1" si="191"/>
        <v>1.0307713895325846E-2</v>
      </c>
      <c r="AZ215" s="247">
        <f t="shared" ca="1" si="191"/>
        <v>9.9716313296138951E-3</v>
      </c>
      <c r="BA215" s="247">
        <f t="shared" ca="1" si="191"/>
        <v>9.6454283321849646E-3</v>
      </c>
      <c r="BB215" s="247">
        <f t="shared" ca="1" si="191"/>
        <v>9.3292036634833563E-3</v>
      </c>
      <c r="BC215" s="247">
        <f t="shared" ca="1" si="191"/>
        <v>9.0230056596335758E-3</v>
      </c>
      <c r="BD215" s="247">
        <f t="shared" ca="1" si="191"/>
        <v>8.7268357934995357E-3</v>
      </c>
      <c r="BE215" s="247">
        <f t="shared" ca="1" si="191"/>
        <v>8.440652426758094E-3</v>
      </c>
      <c r="BF215" s="247">
        <f t="shared" ca="1" si="191"/>
        <v>8.1643746749600603E-3</v>
      </c>
      <c r="BG215" s="247">
        <f t="shared" ca="1" si="191"/>
        <v>7.897886314969146E-3</v>
      </c>
      <c r="BH215" s="247">
        <f t="shared" ca="1" si="191"/>
        <v>7.6410396723142074E-3</v>
      </c>
      <c r="BI215" s="247">
        <f t="shared" ca="1" si="191"/>
        <v>7.3936594345203263E-3</v>
      </c>
      <c r="BJ215" s="247">
        <f t="shared" ca="1" si="191"/>
        <v>7.1555463450774827E-3</v>
      </c>
      <c r="BK215" s="247">
        <f t="shared" ca="1" si="191"/>
        <v>6.9264807410932897E-3</v>
      </c>
      <c r="BL215" s="250">
        <f t="shared" ca="1" si="191"/>
        <v>6.7062259056287965E-3</v>
      </c>
    </row>
    <row r="216" spans="2:64" x14ac:dyDescent="0.25">
      <c r="B216" s="10" t="s">
        <v>531</v>
      </c>
      <c r="C216" s="11"/>
      <c r="D216" s="11"/>
      <c r="E216" s="11"/>
      <c r="F216" s="431" t="s">
        <v>18</v>
      </c>
      <c r="G216" s="377">
        <f>(((G192-G193)*G189)*12)/((1+'Customer Sector'!$F$64)^G15)</f>
        <v>0</v>
      </c>
      <c r="H216" s="377">
        <f ca="1">(((H192-H193)*H189)*12)/((1+'Customer Sector'!$F$64)^H15)</f>
        <v>9971571.6909749359</v>
      </c>
      <c r="I216" s="377">
        <f ca="1">(((I192-I193)*I189)*12)/((1+'Customer Sector'!$F$64)^I15)</f>
        <v>6647625.7711535962</v>
      </c>
      <c r="J216" s="377">
        <f ca="1">(((J192-J193)*J189)*12)/((1+'Customer Sector'!$F$64)^J15)</f>
        <v>3362587.5234920564</v>
      </c>
      <c r="K216" s="377">
        <f ca="1">(((K192-K193)*K189)*12)/((1+'Customer Sector'!$F$64)^K15)</f>
        <v>112985.0898230695</v>
      </c>
      <c r="L216" s="377">
        <f ca="1">(((L192-L193)*L189)*12)/((1+'Customer Sector'!$F$64)^L15)</f>
        <v>-3104618.0241492009</v>
      </c>
      <c r="M216" s="377">
        <f ca="1">(((M192-M193)*M189)*12)/((1+'Customer Sector'!$F$64)^M15)</f>
        <v>-6293642.1973399147</v>
      </c>
      <c r="N216" s="377">
        <f ca="1">(((N192-N193)*N189)*12)/((1+'Customer Sector'!$F$64)^N15)</f>
        <v>-9457512.0232691951</v>
      </c>
      <c r="O216" s="377">
        <f ca="1">(((O192-O193)*O189)*12)/((1+'Customer Sector'!$F$64)^O15)</f>
        <v>-12599678.027429231</v>
      </c>
      <c r="P216" s="377">
        <f ca="1">(((P192-P193)*P189)*12)/((1+'Customer Sector'!$F$64)^P15)</f>
        <v>-15723640.129754452</v>
      </c>
      <c r="Q216" s="377">
        <f ca="1">(((Q192-Q193)*Q189)*12)/((1+'Customer Sector'!$F$64)^Q15)</f>
        <v>-18832973.274145804</v>
      </c>
      <c r="R216" s="377">
        <f ca="1">(((R192-R193)*R189)*12)/((1+'Customer Sector'!$F$64)^R15)</f>
        <v>-23813496.478591502</v>
      </c>
      <c r="S216" s="377">
        <f ca="1">(((S192-S193)*S189)*12)/((1+'Customer Sector'!$F$64)^S15)</f>
        <v>-23819848.967689548</v>
      </c>
      <c r="T216" s="377">
        <f ca="1">(((T192-T193)*T189)*12)/((1+'Customer Sector'!$F$64)^T15)</f>
        <v>-23826203.151378948</v>
      </c>
      <c r="U216" s="377">
        <f ca="1">(((U192-U193)*U189)*12)/((1+'Customer Sector'!$F$64)^U15)</f>
        <v>-23832559.030110583</v>
      </c>
      <c r="V216" s="377">
        <f ca="1">(((V192-V193)*V189)*12)/((1+'Customer Sector'!$F$64)^V15)</f>
        <v>-23838916.604336739</v>
      </c>
      <c r="W216" s="377">
        <f ca="1">(((W192-W193)*W189)*12)/((1+'Customer Sector'!$F$64)^W15)</f>
        <v>-23845275.874508388</v>
      </c>
      <c r="X216" s="377">
        <f ca="1">(((X192-X193)*X189)*12)/((1+'Customer Sector'!$F$64)^X15)</f>
        <v>-23851636.841079809</v>
      </c>
      <c r="Y216" s="377">
        <f ca="1">(((Y192-Y193)*Y189)*12)/((1+'Customer Sector'!$F$64)^Y15)</f>
        <v>-23857999.504503585</v>
      </c>
      <c r="Z216" s="377">
        <f ca="1">(((Z192-Z193)*Z189)*12)/((1+'Customer Sector'!$F$64)^Z15)</f>
        <v>-23864363.86523148</v>
      </c>
      <c r="AA216" s="377">
        <f ca="1">(((AA192-AA193)*AA189)*12)/((1+'Customer Sector'!$F$64)^AA15)</f>
        <v>-23870729.923715979</v>
      </c>
      <c r="AB216" s="377">
        <f ca="1">(((AB192-AB193)*AB189)*12)/((1+'Customer Sector'!$F$64)^AB15)</f>
        <v>-23877097.680410817</v>
      </c>
      <c r="AC216" s="377">
        <f ca="1">(((AC192-AC193)*AC189)*12)/((1+'Customer Sector'!$F$64)^AC15)</f>
        <v>-23883467.135767777</v>
      </c>
      <c r="AD216" s="377">
        <f ca="1">(((AD192-AD193)*AD189)*12)/((1+'Customer Sector'!$F$64)^AD15)</f>
        <v>-23889838.290241104</v>
      </c>
      <c r="AE216" s="377">
        <f ca="1">(((AE192-AE193)*AE189)*12)/((1+'Customer Sector'!$F$64)^AE15)</f>
        <v>-23896211.144284088</v>
      </c>
      <c r="AF216" s="434">
        <f ca="1">(((AF192-AF193)*AF189)*12)/((1+'Customer Sector'!$F$64)^AF15)</f>
        <v>-23902585.698350184</v>
      </c>
      <c r="AH216" s="740" t="s">
        <v>226</v>
      </c>
      <c r="AI216" s="741"/>
      <c r="AJ216" s="741"/>
      <c r="AK216" s="741"/>
      <c r="AL216" s="741"/>
      <c r="AM216" s="741"/>
      <c r="AN216" s="741"/>
      <c r="AO216" s="741"/>
      <c r="AP216" s="741"/>
      <c r="AQ216" s="741"/>
      <c r="AR216" s="741"/>
      <c r="AS216" s="253"/>
      <c r="AT216" s="253"/>
      <c r="AU216" s="253"/>
      <c r="AV216" s="253"/>
      <c r="AW216" s="254"/>
    </row>
    <row r="217" spans="2:64" x14ac:dyDescent="0.25">
      <c r="B217" s="26"/>
      <c r="C217" s="29" t="s">
        <v>532</v>
      </c>
      <c r="D217" s="29"/>
      <c r="E217" s="29"/>
      <c r="F217" s="432" t="s">
        <v>19</v>
      </c>
      <c r="G217" s="435">
        <f ca="1">SUM(G216:AF216)</f>
        <v>-403787523.79084462</v>
      </c>
      <c r="H217" s="481"/>
      <c r="I217" s="481"/>
      <c r="J217" s="481"/>
      <c r="K217" s="481"/>
      <c r="L217" s="481"/>
      <c r="M217" s="481"/>
      <c r="N217" s="481"/>
      <c r="O217" s="481"/>
      <c r="P217" s="481"/>
      <c r="Q217" s="481"/>
      <c r="R217" s="481"/>
      <c r="S217" s="481"/>
      <c r="T217" s="481"/>
      <c r="U217" s="481"/>
      <c r="V217" s="481"/>
      <c r="W217" s="481"/>
      <c r="X217" s="481"/>
      <c r="Y217" s="481"/>
      <c r="Z217" s="481"/>
      <c r="AA217" s="481"/>
      <c r="AB217" s="481"/>
      <c r="AC217" s="481"/>
      <c r="AD217" s="481"/>
      <c r="AE217" s="481"/>
      <c r="AF217" s="482"/>
      <c r="AH217" s="31" t="s">
        <v>112</v>
      </c>
      <c r="AI217" s="32"/>
      <c r="AJ217" s="32"/>
      <c r="AK217" s="32"/>
      <c r="AL217" s="109" t="s">
        <v>229</v>
      </c>
      <c r="AM217" s="255">
        <f t="shared" ref="AM217:BL217" si="192">AM196</f>
        <v>0</v>
      </c>
      <c r="AN217" s="255">
        <f t="shared" ca="1" si="192"/>
        <v>-7.349555951609724E-4</v>
      </c>
      <c r="AO217" s="255">
        <f t="shared" ca="1" si="192"/>
        <v>-4.5558412651742104E-3</v>
      </c>
      <c r="AP217" s="255">
        <f t="shared" ca="1" si="192"/>
        <v>-8.5676766606701746E-3</v>
      </c>
      <c r="AQ217" s="255">
        <f t="shared" ca="1" si="192"/>
        <v>-1.278618843250999E-2</v>
      </c>
      <c r="AR217" s="255">
        <f t="shared" ca="1" si="192"/>
        <v>-1.7227747458479017E-2</v>
      </c>
      <c r="AS217" s="255">
        <f t="shared" ca="1" si="192"/>
        <v>-2.1909380611263431E-2</v>
      </c>
      <c r="AT217" s="255">
        <f t="shared" ca="1" si="192"/>
        <v>-2.6848787137398029E-2</v>
      </c>
      <c r="AU217" s="255">
        <f t="shared" ca="1" si="192"/>
        <v>-3.2064360064315088E-2</v>
      </c>
      <c r="AV217" s="255">
        <f t="shared" ca="1" si="192"/>
        <v>-3.7575212972736922E-2</v>
      </c>
      <c r="AW217" s="255">
        <f t="shared" ca="1" si="192"/>
        <v>-4.340121239305559E-2</v>
      </c>
      <c r="AX217" s="255">
        <f t="shared" ca="1" si="192"/>
        <v>-4.4629023488736673E-2</v>
      </c>
      <c r="AY217" s="255">
        <f t="shared" ca="1" si="192"/>
        <v>-4.4972673845522282E-2</v>
      </c>
      <c r="AZ217" s="255">
        <f t="shared" ca="1" si="192"/>
        <v>-4.5306657842570437E-2</v>
      </c>
      <c r="BA217" s="255">
        <f t="shared" ca="1" si="192"/>
        <v>-4.5630823961391828E-2</v>
      </c>
      <c r="BB217" s="255">
        <f t="shared" ca="1" si="192"/>
        <v>-4.594507405822261E-2</v>
      </c>
      <c r="BC217" s="255">
        <f t="shared" ca="1" si="192"/>
        <v>-4.6249360098759469E-2</v>
      </c>
      <c r="BD217" s="255">
        <f t="shared" ca="1" si="192"/>
        <v>-4.6543680619334976E-2</v>
      </c>
      <c r="BE217" s="255">
        <f t="shared" ca="1" si="192"/>
        <v>-4.682807699827362E-2</v>
      </c>
      <c r="BF217" s="255">
        <f t="shared" ca="1" si="192"/>
        <v>-4.7102629614966335E-2</v>
      </c>
      <c r="BG217" s="255">
        <f t="shared" ca="1" si="192"/>
        <v>-4.7367453966827774E-2</v>
      </c>
      <c r="BH217" s="255">
        <f t="shared" ca="1" si="192"/>
        <v>-4.76226968062195E-2</v>
      </c>
      <c r="BI217" s="255">
        <f t="shared" ca="1" si="192"/>
        <v>-4.7868532350928833E-2</v>
      </c>
      <c r="BJ217" s="255">
        <f t="shared" ca="1" si="192"/>
        <v>-4.8105158613267335E-2</v>
      </c>
      <c r="BK217" s="255">
        <f t="shared" ca="1" si="192"/>
        <v>-4.8332793884507508E-2</v>
      </c>
      <c r="BL217" s="256">
        <f t="shared" ca="1" si="192"/>
        <v>-4.8551673403478289E-2</v>
      </c>
    </row>
    <row r="218" spans="2:64" x14ac:dyDescent="0.25">
      <c r="AH218" s="10"/>
      <c r="AI218" s="11" t="s">
        <v>227</v>
      </c>
      <c r="AJ218" s="11"/>
      <c r="AK218" s="11"/>
      <c r="AL218" s="431" t="s">
        <v>19</v>
      </c>
      <c r="AM218" s="246">
        <f>IF('Customer Sector'!$L$108&gt;0,AM214,AM207)</f>
        <v>0</v>
      </c>
      <c r="AN218" s="246">
        <f ca="1">IF('Customer Sector'!$L$108&gt;0,AN214,AN207)</f>
        <v>-0.24215293006369373</v>
      </c>
      <c r="AO218" s="246">
        <f ca="1">IF('Customer Sector'!$L$108&gt;0,AO214,AO207)</f>
        <v>-0.23483351137785233</v>
      </c>
      <c r="AP218" s="246">
        <f ca="1">IF('Customer Sector'!$L$108&gt;0,AP214,AP207)</f>
        <v>-0.22762450402654852</v>
      </c>
      <c r="AQ218" s="246">
        <f ca="1">IF('Customer Sector'!$L$108&gt;0,AQ214,AQ207)</f>
        <v>-0.22052562961662164</v>
      </c>
      <c r="AR218" s="246">
        <f ca="1">IF('Customer Sector'!$L$108&gt;0,AR214,AR207)</f>
        <v>-0.21353611804818293</v>
      </c>
      <c r="AS218" s="246">
        <f ca="1">IF('Customer Sector'!$L$108&gt;0,AS214,AS207)</f>
        <v>-0.20665476311871733</v>
      </c>
      <c r="AT218" s="246">
        <f ca="1">IF('Customer Sector'!$L$108&gt;0,AT214,AT207)</f>
        <v>-0.19987997440099498</v>
      </c>
      <c r="AU218" s="246">
        <f ca="1">IF('Customer Sector'!$L$108&gt;0,AU214,AU207)</f>
        <v>-0.19320982372940135</v>
      </c>
      <c r="AV218" s="246">
        <f ca="1">IF('Customer Sector'!$L$108&gt;0,AV214,AV207)</f>
        <v>-0.18664208484560812</v>
      </c>
      <c r="AW218" s="246">
        <f ca="1">IF('Customer Sector'!$L$108&gt;0,AW214,AW207)</f>
        <v>-0.18017426497866729</v>
      </c>
      <c r="AX218" s="246">
        <f ca="1">IF('Customer Sector'!$L$108&gt;0,AX214,AX207)</f>
        <v>-0.18322761832269957</v>
      </c>
      <c r="AY218" s="246">
        <f ca="1">IF('Customer Sector'!$L$108&gt;0,AY214,AY207)</f>
        <v>-0.18554336549632081</v>
      </c>
      <c r="AZ218" s="246">
        <f ca="1">IF('Customer Sector'!$L$108&gt;0,AZ214,AZ207)</f>
        <v>-0.18786961828498758</v>
      </c>
      <c r="BA218" s="246">
        <f ca="1">IF('Customer Sector'!$L$108&gt;0,BA214,BA207)</f>
        <v>-0.19020643767266057</v>
      </c>
      <c r="BB218" s="246">
        <f ca="1">IF('Customer Sector'!$L$108&gt;0,BB214,BB207)</f>
        <v>-0.1925539394707747</v>
      </c>
      <c r="BC218" s="246">
        <f ca="1">IF('Customer Sector'!$L$108&gt;0,BC214,BC207)</f>
        <v>-0.19491229107256364</v>
      </c>
      <c r="BD218" s="246">
        <f ca="1">IF('Customer Sector'!$L$108&gt;0,BD214,BD207)</f>
        <v>-0.19728170794156016</v>
      </c>
      <c r="BE218" s="246">
        <f ca="1">IF('Customer Sector'!$L$108&gt;0,BE214,BE207)</f>
        <v>-0.19966244991713369</v>
      </c>
      <c r="BF218" s="246">
        <f ca="1">IF('Customer Sector'!$L$108&gt;0,BF214,BF207)</f>
        <v>-0.20205481741369602</v>
      </c>
      <c r="BG218" s="246">
        <f ca="1">IF('Customer Sector'!$L$108&gt;0,BG214,BG207)</f>
        <v>-0.20445914758284114</v>
      </c>
      <c r="BH218" s="246">
        <f ca="1">IF('Customer Sector'!$L$108&gt;0,BH214,BH207)</f>
        <v>-0.20687581049961035</v>
      </c>
      <c r="BI218" s="246">
        <f ca="1">IF('Customer Sector'!$L$108&gt;0,BI214,BI207)</f>
        <v>-0.20930520542562678</v>
      </c>
      <c r="BJ218" s="246">
        <f ca="1">IF('Customer Sector'!$L$108&gt;0,BJ214,BJ207)</f>
        <v>-0.21174775719337721</v>
      </c>
      <c r="BK218" s="246">
        <f ca="1">IF('Customer Sector'!$L$108&gt;0,BK214,BK207)</f>
        <v>-0.21420391274762696</v>
      </c>
      <c r="BL218" s="249">
        <f ca="1">IF('Customer Sector'!$L$108&gt;0,BL214,BL207)</f>
        <v>-0.21667413787213985</v>
      </c>
    </row>
    <row r="219" spans="2:64" x14ac:dyDescent="0.25">
      <c r="G219" s="698"/>
      <c r="AH219" s="10"/>
      <c r="AI219" s="11" t="s">
        <v>228</v>
      </c>
      <c r="AJ219" s="11"/>
      <c r="AK219" s="11"/>
      <c r="AL219" s="431" t="s">
        <v>19</v>
      </c>
      <c r="AM219" s="246">
        <f>IF('Customer Sector'!$L$108&gt;0,AM215,AM208)</f>
        <v>0</v>
      </c>
      <c r="AN219" s="246">
        <f ca="1">IF('Customer Sector'!$L$108&gt;0,AN215,AN208)</f>
        <v>3.8185892844277316E-3</v>
      </c>
      <c r="AO219" s="246">
        <f ca="1">IF('Customer Sector'!$L$108&gt;0,AO215,AO208)</f>
        <v>4.7247038253073366E-3</v>
      </c>
      <c r="AP219" s="246">
        <f ca="1">IF('Customer Sector'!$L$108&gt;0,AP215,AP208)</f>
        <v>5.6284278269276636E-3</v>
      </c>
      <c r="AQ219" s="246">
        <f ca="1">IF('Customer Sector'!$L$108&gt;0,AQ215,AQ208)</f>
        <v>6.529981054733399E-3</v>
      </c>
      <c r="AR219" s="246">
        <f ca="1">IF('Customer Sector'!$L$108&gt;0,AR215,AR208)</f>
        <v>7.4298006838495276E-3</v>
      </c>
      <c r="AS219" s="246">
        <f ca="1">IF('Customer Sector'!$L$108&gt;0,AS215,AS208)</f>
        <v>8.3285521428233377E-3</v>
      </c>
      <c r="AT219" s="246">
        <f ca="1">IF('Customer Sector'!$L$108&gt;0,AT215,AT208)</f>
        <v>9.2271396714617097E-3</v>
      </c>
      <c r="AU219" s="246">
        <f ca="1">IF('Customer Sector'!$L$108&gt;0,AU215,AU208)</f>
        <v>1.0126716962458036E-2</v>
      </c>
      <c r="AV219" s="246">
        <f ca="1">IF('Customer Sector'!$L$108&gt;0,AV215,AV208)</f>
        <v>1.1028698334910247E-2</v>
      </c>
      <c r="AW219" s="246">
        <f ca="1">IF('Customer Sector'!$L$108&gt;0,AW215,AW208)</f>
        <v>1.193477097047202E-2</v>
      </c>
      <c r="AX219" s="246">
        <f ca="1">IF('Customer Sector'!$L$108&gt;0,AX215,AX208)</f>
        <v>1.0653523558774188E-2</v>
      </c>
      <c r="AY219" s="246">
        <f ca="1">IF('Customer Sector'!$L$108&gt;0,AY215,AY208)</f>
        <v>1.0307713895325846E-2</v>
      </c>
      <c r="AZ219" s="246">
        <f ca="1">IF('Customer Sector'!$L$108&gt;0,AZ215,AZ208)</f>
        <v>9.9716313296138951E-3</v>
      </c>
      <c r="BA219" s="246">
        <f ca="1">IF('Customer Sector'!$L$108&gt;0,BA215,BA208)</f>
        <v>9.6454283321849646E-3</v>
      </c>
      <c r="BB219" s="246">
        <f ca="1">IF('Customer Sector'!$L$108&gt;0,BB215,BB208)</f>
        <v>9.3292036634835436E-3</v>
      </c>
      <c r="BC219" s="246">
        <f ca="1">IF('Customer Sector'!$L$108&gt;0,BC215,BC208)</f>
        <v>9.0230056596335758E-3</v>
      </c>
      <c r="BD219" s="246">
        <f ca="1">IF('Customer Sector'!$L$108&gt;0,BD215,BD208)</f>
        <v>8.7268357934995357E-3</v>
      </c>
      <c r="BE219" s="246">
        <f ca="1">IF('Customer Sector'!$L$108&gt;0,BE215,BE208)</f>
        <v>8.4406524267582553E-3</v>
      </c>
      <c r="BF219" s="246">
        <f ca="1">IF('Customer Sector'!$L$108&gt;0,BF215,BF208)</f>
        <v>8.1643746749602147E-3</v>
      </c>
      <c r="BG219" s="246">
        <f ca="1">IF('Customer Sector'!$L$108&gt;0,BG215,BG208)</f>
        <v>7.897886314969146E-3</v>
      </c>
      <c r="BH219" s="246">
        <f ca="1">IF('Customer Sector'!$L$108&gt;0,BH215,BH208)</f>
        <v>7.6410396723140695E-3</v>
      </c>
      <c r="BI219" s="246">
        <f ca="1">IF('Customer Sector'!$L$108&gt;0,BI215,BI208)</f>
        <v>7.3936594345201953E-3</v>
      </c>
      <c r="BJ219" s="246">
        <f ca="1">IF('Customer Sector'!$L$108&gt;0,BJ215,BJ208)</f>
        <v>7.1555463450774827E-3</v>
      </c>
      <c r="BK219" s="246">
        <f ca="1">IF('Customer Sector'!$L$108&gt;0,BK215,BK208)</f>
        <v>6.9264807410932897E-3</v>
      </c>
      <c r="BL219" s="249">
        <f ca="1">IF('Customer Sector'!$L$108&gt;0,BL215,BL208)</f>
        <v>6.7062259056290194E-3</v>
      </c>
    </row>
    <row r="220" spans="2:64" x14ac:dyDescent="0.25">
      <c r="G220" s="698"/>
      <c r="AH220" s="10" t="s">
        <v>531</v>
      </c>
      <c r="AI220" s="11"/>
      <c r="AJ220" s="11"/>
      <c r="AK220" s="11"/>
      <c r="AL220" s="431" t="s">
        <v>18</v>
      </c>
      <c r="AM220" s="377">
        <f>(((AM194-AM195)*AM189)*12)/((1+'Customer Sector'!$L$64)^AM15)</f>
        <v>0</v>
      </c>
      <c r="AN220" s="377">
        <f ca="1">(((AN194-AN195)*AN189)*12)/((1+'Customer Sector'!$L$64)^AN15)</f>
        <v>-3370793.2758755982</v>
      </c>
      <c r="AO220" s="377">
        <f ca="1">(((AO194-AO195)*AO189)*12)/((1+'Customer Sector'!$L$64)^AO15)</f>
        <v>-20262896.155159425</v>
      </c>
      <c r="AP220" s="377">
        <f ca="1">(((AP194-AP195)*AP189)*12)/((1+'Customer Sector'!$L$64)^AP15)</f>
        <v>-36994065.837826923</v>
      </c>
      <c r="AQ220" s="377">
        <f ca="1">(((AQ194-AQ195)*AQ189)*12)/((1+'Customer Sector'!$L$64)^AQ15)</f>
        <v>-53655209.244858958</v>
      </c>
      <c r="AR220" s="377">
        <f ca="1">(((AR194-AR195)*AR189)*12)/((1+'Customer Sector'!$L$64)^AR15)</f>
        <v>-70332750.613947034</v>
      </c>
      <c r="AS220" s="377">
        <f ca="1">(((AS194-AS195)*AS189)*12)/((1+'Customer Sector'!$L$64)^AS15)</f>
        <v>-87109213.385245159</v>
      </c>
      <c r="AT220" s="377">
        <f ca="1">(((AT194-AT195)*AT189)*12)/((1+'Customer Sector'!$L$64)^AT15)</f>
        <v>-104063763.13978316</v>
      </c>
      <c r="AU220" s="377">
        <f ca="1">(((AU194-AU195)*AU189)*12)/((1+'Customer Sector'!$L$64)^AU15)</f>
        <v>-121272715.27267024</v>
      </c>
      <c r="AV220" s="377">
        <f ca="1">(((AV194-AV195)*AV189)*12)/((1+'Customer Sector'!$L$64)^AV15)</f>
        <v>-138810010.81476012</v>
      </c>
      <c r="AW220" s="377">
        <f ca="1">(((AW194-AW195)*AW189)*12)/((1+'Customer Sector'!$L$64)^AW15)</f>
        <v>-156747663.5703418</v>
      </c>
      <c r="AX220" s="377">
        <f ca="1">(((AX194-AX195)*AX189)*12)/((1+'Customer Sector'!$L$64)^AX15)</f>
        <v>-157719403.86640835</v>
      </c>
      <c r="AY220" s="377">
        <f ca="1">(((AY194-AY195)*AY189)*12)/((1+'Customer Sector'!$L$64)^AY15)</f>
        <v>-155654240.41901788</v>
      </c>
      <c r="AZ220" s="377">
        <f ca="1">(((AZ194-AZ195)*AZ189)*12)/((1+'Customer Sector'!$L$64)^AZ15)</f>
        <v>-153702840.82524899</v>
      </c>
      <c r="BA220" s="377">
        <f ca="1">(((BA194-BA195)*BA189)*12)/((1+'Customer Sector'!$L$64)^BA15)</f>
        <v>-151857392.50167856</v>
      </c>
      <c r="BB220" s="377">
        <f ca="1">(((BB194-BB195)*BB189)*12)/((1+'Customer Sector'!$L$64)^BB15)</f>
        <v>-150110632.18550634</v>
      </c>
      <c r="BC220" s="377">
        <f ca="1">(((BC194-BC195)*BC189)*12)/((1+'Customer Sector'!$L$64)^BC15)</f>
        <v>-148455807.13508618</v>
      </c>
      <c r="BD220" s="377">
        <f ca="1">(((BD194-BD195)*BD189)*12)/((1+'Customer Sector'!$L$64)^BD15)</f>
        <v>-146886639.07314163</v>
      </c>
      <c r="BE220" s="377">
        <f ca="1">(((BE194-BE195)*BE189)*12)/((1+'Customer Sector'!$L$64)^BE15)</f>
        <v>-145397290.67888898</v>
      </c>
      <c r="BF220" s="377">
        <f ca="1">(((BF194-BF195)*BF189)*12)/((1+'Customer Sector'!$L$64)^BF15)</f>
        <v>-143982334.44898918</v>
      </c>
      <c r="BG220" s="377">
        <f ca="1">(((BG194-BG195)*BG189)*12)/((1+'Customer Sector'!$L$64)^BG15)</f>
        <v>-142636723.75992113</v>
      </c>
      <c r="BH220" s="377">
        <f ca="1">(((BH194-BH195)*BH189)*12)/((1+'Customer Sector'!$L$64)^BH15)</f>
        <v>-141355765.97625113</v>
      </c>
      <c r="BI220" s="377">
        <f ca="1">(((BI194-BI195)*BI189)*12)/((1+'Customer Sector'!$L$64)^BI15)</f>
        <v>-140135097.4602136</v>
      </c>
      <c r="BJ220" s="377">
        <f ca="1">(((BJ194-BJ195)*BJ189)*12)/((1+'Customer Sector'!$L$64)^BJ15)</f>
        <v>-138970660.34825793</v>
      </c>
      <c r="BK220" s="377">
        <f ca="1">(((BK194-BK195)*BK189)*12)/((1+'Customer Sector'!$L$64)^BK15)</f>
        <v>-137858680.96966517</v>
      </c>
      <c r="BL220" s="434">
        <f ca="1">(((BL194-BL195)*BL189)*12)/((1+'Customer Sector'!$L$64)^BL15)</f>
        <v>-136795649.7912111</v>
      </c>
    </row>
    <row r="221" spans="2:64" x14ac:dyDescent="0.25">
      <c r="G221" s="698"/>
      <c r="AH221" s="26"/>
      <c r="AI221" s="29" t="s">
        <v>532</v>
      </c>
      <c r="AJ221" s="29"/>
      <c r="AK221" s="29"/>
      <c r="AL221" s="432" t="s">
        <v>19</v>
      </c>
      <c r="AM221" s="435">
        <f ca="1">SUM(AM220:BL220)</f>
        <v>-2984138240.7499542</v>
      </c>
      <c r="AN221" s="481"/>
      <c r="AO221" s="481"/>
      <c r="AP221" s="481"/>
      <c r="AQ221" s="481"/>
      <c r="AR221" s="481"/>
      <c r="AS221" s="481"/>
      <c r="AT221" s="481"/>
      <c r="AU221" s="481"/>
      <c r="AV221" s="481"/>
      <c r="AW221" s="481"/>
      <c r="AX221" s="481"/>
      <c r="AY221" s="481"/>
      <c r="AZ221" s="481"/>
      <c r="BA221" s="481"/>
      <c r="BB221" s="481"/>
      <c r="BC221" s="481"/>
      <c r="BD221" s="481"/>
      <c r="BE221" s="481"/>
      <c r="BF221" s="481"/>
      <c r="BG221" s="481"/>
      <c r="BH221" s="481"/>
      <c r="BI221" s="481"/>
      <c r="BJ221" s="481"/>
      <c r="BK221" s="481"/>
      <c r="BL221" s="482"/>
    </row>
    <row r="223" spans="2:64" x14ac:dyDescent="0.25">
      <c r="AM223" s="681"/>
      <c r="AN223" s="681"/>
      <c r="AO223" s="681"/>
      <c r="AP223" s="292"/>
      <c r="AQ223" s="292"/>
      <c r="AR223" s="292"/>
      <c r="AS223" s="292"/>
    </row>
    <row r="224" spans="2:64" x14ac:dyDescent="0.25">
      <c r="AM224" s="681"/>
    </row>
    <row r="225" spans="1:39" x14ac:dyDescent="0.25">
      <c r="AM225" s="681"/>
    </row>
    <row r="229" spans="1:39" x14ac:dyDescent="0.25">
      <c r="A229" s="260"/>
    </row>
    <row r="230" spans="1:39" x14ac:dyDescent="0.25">
      <c r="A230" s="260"/>
    </row>
    <row r="231" spans="1:39" x14ac:dyDescent="0.25">
      <c r="A231" s="260"/>
    </row>
    <row r="232" spans="1:39" x14ac:dyDescent="0.25">
      <c r="A232" s="260"/>
    </row>
  </sheetData>
  <mergeCells count="50">
    <mergeCell ref="AH216:AR216"/>
    <mergeCell ref="AH187:AK188"/>
    <mergeCell ref="AL187:AL188"/>
    <mergeCell ref="AH197:AR197"/>
    <mergeCell ref="AH14:AK15"/>
    <mergeCell ref="AL14:AL15"/>
    <mergeCell ref="AH87:AR87"/>
    <mergeCell ref="AH111:AR111"/>
    <mergeCell ref="AH129:AR129"/>
    <mergeCell ref="AH90:AR90"/>
    <mergeCell ref="AH103:AR103"/>
    <mergeCell ref="AH160:AR160"/>
    <mergeCell ref="AH209:AR209"/>
    <mergeCell ref="BQ5:BQ6"/>
    <mergeCell ref="BN33:BO34"/>
    <mergeCell ref="BQ33:BQ34"/>
    <mergeCell ref="BN5:BP6"/>
    <mergeCell ref="B212:L212"/>
    <mergeCell ref="F182:F183"/>
    <mergeCell ref="B181:L181"/>
    <mergeCell ref="B205:L205"/>
    <mergeCell ref="AH179:AK179"/>
    <mergeCell ref="AH181:AR181"/>
    <mergeCell ref="AH182:AK183"/>
    <mergeCell ref="AL182:AL183"/>
    <mergeCell ref="AH186:AR186"/>
    <mergeCell ref="B182:E183"/>
    <mergeCell ref="B186:L186"/>
    <mergeCell ref="B195:L195"/>
    <mergeCell ref="B5:E6"/>
    <mergeCell ref="F5:F6"/>
    <mergeCell ref="B160:L160"/>
    <mergeCell ref="B90:L90"/>
    <mergeCell ref="B103:L103"/>
    <mergeCell ref="B187:E188"/>
    <mergeCell ref="F187:F188"/>
    <mergeCell ref="AH2:AK2"/>
    <mergeCell ref="AH4:AR4"/>
    <mergeCell ref="AH5:AK6"/>
    <mergeCell ref="AL5:AL6"/>
    <mergeCell ref="AH13:AR13"/>
    <mergeCell ref="B2:E2"/>
    <mergeCell ref="B179:E179"/>
    <mergeCell ref="B14:E15"/>
    <mergeCell ref="B4:L4"/>
    <mergeCell ref="B13:L13"/>
    <mergeCell ref="B87:L87"/>
    <mergeCell ref="B111:L111"/>
    <mergeCell ref="B129:L129"/>
    <mergeCell ref="F14:F15"/>
  </mergeCells>
  <conditionalFormatting sqref="G88:AF88">
    <cfRule type="cellIs" dxfId="3" priority="2" operator="equal">
      <formula>1</formula>
    </cfRule>
  </conditionalFormatting>
  <conditionalFormatting sqref="AM88:BL88">
    <cfRule type="cellIs" dxfId="2" priority="1" operator="equal">
      <formula>1</formula>
    </cfRule>
  </conditionalFormatting>
  <pageMargins left="0.75" right="0.75" top="1" bottom="1" header="0.5" footer="0.5"/>
  <pageSetup orientation="portrait" horizontalDpi="4294967292" verticalDpi="4294967292"/>
  <headerFooter alignWithMargins="0"/>
  <ignoredErrors>
    <ignoredError sqref="H116:AF116 H123:AF123" formulaRange="1"/>
    <ignoredError sqref="AM168:BL168" formula="1"/>
    <ignoredError sqref="R63:AF63 R75:AF75 R22:AF22" emptyCellReferenc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B2:V135"/>
  <sheetViews>
    <sheetView zoomScale="70" zoomScaleNormal="70" zoomScalePageLayoutView="70" workbookViewId="0"/>
  </sheetViews>
  <sheetFormatPr defaultColWidth="11" defaultRowHeight="15.75" x14ac:dyDescent="0.25"/>
  <cols>
    <col min="1" max="1" width="2.5" customWidth="1"/>
    <col min="2" max="2" width="2.375" customWidth="1"/>
    <col min="3" max="3" width="25.125" customWidth="1"/>
    <col min="4" max="4" width="11.125" customWidth="1"/>
    <col min="6" max="6" width="9.875" customWidth="1"/>
    <col min="7" max="7" width="4.125" customWidth="1"/>
    <col min="8" max="8" width="2.5" customWidth="1"/>
    <col min="9" max="9" width="2.375" customWidth="1"/>
    <col min="10" max="10" width="25.125" customWidth="1"/>
    <col min="13" max="13" width="9.875" customWidth="1"/>
    <col min="14" max="14" width="5.5" customWidth="1"/>
    <col min="15" max="16" width="2.5" customWidth="1"/>
    <col min="17" max="17" width="2.375" customWidth="1"/>
    <col min="18" max="18" width="25.125" customWidth="1"/>
    <col min="22" max="22" width="5.5" customWidth="1"/>
  </cols>
  <sheetData>
    <row r="2" spans="2:22" x14ac:dyDescent="0.25">
      <c r="B2" s="712" t="s">
        <v>250</v>
      </c>
      <c r="C2" s="713"/>
      <c r="D2" s="713"/>
      <c r="E2" s="713"/>
      <c r="F2" s="713"/>
      <c r="G2" s="714"/>
      <c r="I2" s="712" t="s">
        <v>249</v>
      </c>
      <c r="J2" s="713"/>
      <c r="K2" s="713"/>
      <c r="L2" s="713"/>
      <c r="M2" s="713"/>
      <c r="N2" s="714"/>
      <c r="Q2" s="751" t="s">
        <v>456</v>
      </c>
      <c r="R2" s="752"/>
      <c r="S2" s="752"/>
      <c r="T2" s="752"/>
      <c r="U2" s="752"/>
      <c r="V2" s="753"/>
    </row>
    <row r="3" spans="2:22" x14ac:dyDescent="0.25">
      <c r="B3" s="31"/>
      <c r="C3" s="32"/>
      <c r="D3" s="32"/>
      <c r="E3" s="32"/>
      <c r="F3" s="32"/>
      <c r="G3" s="77"/>
      <c r="I3" s="31"/>
      <c r="J3" s="32"/>
      <c r="K3" s="32"/>
      <c r="L3" s="32"/>
      <c r="M3" s="32"/>
      <c r="N3" s="77"/>
      <c r="Q3" s="31"/>
      <c r="R3" s="32"/>
      <c r="S3" s="32"/>
      <c r="T3" s="32"/>
      <c r="U3" s="32"/>
      <c r="V3" s="77"/>
    </row>
    <row r="4" spans="2:22" x14ac:dyDescent="0.25">
      <c r="B4" s="10"/>
      <c r="C4" s="11"/>
      <c r="D4" s="11"/>
      <c r="E4" s="11"/>
      <c r="F4" s="11"/>
      <c r="G4" s="20"/>
      <c r="I4" s="10"/>
      <c r="J4" s="11"/>
      <c r="K4" s="11"/>
      <c r="L4" s="11"/>
      <c r="M4" s="11"/>
      <c r="N4" s="20"/>
      <c r="Q4" s="10"/>
      <c r="R4" s="11"/>
      <c r="S4" s="11"/>
      <c r="T4" s="11"/>
      <c r="U4" s="11"/>
      <c r="V4" s="20"/>
    </row>
    <row r="5" spans="2:22" x14ac:dyDescent="0.25">
      <c r="B5" s="10"/>
      <c r="C5" s="11"/>
      <c r="D5" s="11"/>
      <c r="E5" s="11"/>
      <c r="F5" s="11"/>
      <c r="G5" s="20"/>
      <c r="I5" s="10"/>
      <c r="J5" s="11"/>
      <c r="K5" s="11"/>
      <c r="L5" s="11"/>
      <c r="M5" s="11"/>
      <c r="N5" s="20"/>
      <c r="Q5" s="10"/>
      <c r="R5" s="11"/>
      <c r="S5" s="11"/>
      <c r="T5" s="11"/>
      <c r="U5" s="11"/>
      <c r="V5" s="20"/>
    </row>
    <row r="6" spans="2:22" x14ac:dyDescent="0.25">
      <c r="B6" s="10"/>
      <c r="C6" s="11"/>
      <c r="D6" s="11"/>
      <c r="E6" s="11"/>
      <c r="F6" s="11"/>
      <c r="G6" s="20"/>
      <c r="I6" s="10"/>
      <c r="J6" s="11"/>
      <c r="K6" s="11"/>
      <c r="L6" s="11"/>
      <c r="M6" s="11"/>
      <c r="N6" s="20"/>
      <c r="Q6" s="10"/>
      <c r="R6" s="11"/>
      <c r="S6" s="11"/>
      <c r="T6" s="11"/>
      <c r="U6" s="11"/>
      <c r="V6" s="20"/>
    </row>
    <row r="7" spans="2:22" x14ac:dyDescent="0.25">
      <c r="B7" s="10"/>
      <c r="C7" s="11"/>
      <c r="D7" s="11"/>
      <c r="E7" s="11"/>
      <c r="F7" s="11"/>
      <c r="G7" s="20"/>
      <c r="I7" s="10"/>
      <c r="J7" s="11"/>
      <c r="K7" s="11"/>
      <c r="L7" s="11"/>
      <c r="M7" s="11"/>
      <c r="N7" s="20"/>
      <c r="Q7" s="10"/>
      <c r="R7" s="11"/>
      <c r="S7" s="11"/>
      <c r="T7" s="11"/>
      <c r="U7" s="11"/>
      <c r="V7" s="20"/>
    </row>
    <row r="8" spans="2:22" x14ac:dyDescent="0.25">
      <c r="B8" s="10"/>
      <c r="C8" s="11"/>
      <c r="D8" s="11"/>
      <c r="E8" s="11"/>
      <c r="F8" s="11"/>
      <c r="G8" s="20"/>
      <c r="I8" s="10"/>
      <c r="J8" s="11"/>
      <c r="K8" s="11"/>
      <c r="L8" s="11"/>
      <c r="M8" s="11"/>
      <c r="N8" s="20"/>
      <c r="Q8" s="10"/>
      <c r="R8" s="11"/>
      <c r="S8" s="11"/>
      <c r="T8" s="11"/>
      <c r="U8" s="11"/>
      <c r="V8" s="20"/>
    </row>
    <row r="9" spans="2:22" x14ac:dyDescent="0.25">
      <c r="B9" s="10"/>
      <c r="C9" s="11"/>
      <c r="D9" s="11"/>
      <c r="E9" s="11"/>
      <c r="F9" s="11"/>
      <c r="G9" s="20"/>
      <c r="I9" s="10"/>
      <c r="J9" s="11"/>
      <c r="K9" s="11"/>
      <c r="L9" s="11"/>
      <c r="M9" s="11"/>
      <c r="N9" s="20"/>
      <c r="Q9" s="10"/>
      <c r="R9" s="11"/>
      <c r="S9" s="11"/>
      <c r="T9" s="11"/>
      <c r="U9" s="11"/>
      <c r="V9" s="20"/>
    </row>
    <row r="10" spans="2:22" x14ac:dyDescent="0.25">
      <c r="B10" s="10"/>
      <c r="C10" s="11"/>
      <c r="D10" s="11"/>
      <c r="E10" s="11"/>
      <c r="F10" s="11"/>
      <c r="G10" s="20"/>
      <c r="I10" s="10"/>
      <c r="J10" s="11"/>
      <c r="K10" s="11"/>
      <c r="L10" s="11"/>
      <c r="M10" s="11"/>
      <c r="N10" s="20"/>
      <c r="Q10" s="10"/>
      <c r="R10" s="11"/>
      <c r="S10" s="11"/>
      <c r="T10" s="11"/>
      <c r="U10" s="11"/>
      <c r="V10" s="20"/>
    </row>
    <row r="11" spans="2:22" x14ac:dyDescent="0.25">
      <c r="B11" s="10"/>
      <c r="C11" s="11"/>
      <c r="D11" s="11"/>
      <c r="E11" s="11"/>
      <c r="F11" s="11"/>
      <c r="G11" s="20"/>
      <c r="I11" s="10"/>
      <c r="J11" s="11"/>
      <c r="K11" s="11"/>
      <c r="L11" s="11"/>
      <c r="M11" s="11"/>
      <c r="N11" s="20"/>
      <c r="Q11" s="10"/>
      <c r="R11" s="11"/>
      <c r="S11" s="11"/>
      <c r="T11" s="11"/>
      <c r="U11" s="11"/>
      <c r="V11" s="20"/>
    </row>
    <row r="12" spans="2:22" x14ac:dyDescent="0.25">
      <c r="B12" s="10"/>
      <c r="C12" s="11"/>
      <c r="D12" s="11"/>
      <c r="E12" s="11"/>
      <c r="F12" s="11"/>
      <c r="G12" s="20"/>
      <c r="I12" s="10"/>
      <c r="J12" s="11"/>
      <c r="K12" s="11"/>
      <c r="L12" s="11"/>
      <c r="M12" s="11"/>
      <c r="N12" s="20"/>
      <c r="Q12" s="10"/>
      <c r="R12" s="11"/>
      <c r="S12" s="11"/>
      <c r="T12" s="11"/>
      <c r="U12" s="11"/>
      <c r="V12" s="20"/>
    </row>
    <row r="13" spans="2:22" x14ac:dyDescent="0.25">
      <c r="B13" s="10"/>
      <c r="C13" s="11"/>
      <c r="D13" s="11"/>
      <c r="E13" s="11"/>
      <c r="F13" s="11"/>
      <c r="G13" s="20"/>
      <c r="I13" s="10"/>
      <c r="J13" s="11"/>
      <c r="K13" s="11"/>
      <c r="L13" s="11"/>
      <c r="M13" s="11"/>
      <c r="N13" s="20"/>
      <c r="Q13" s="10"/>
      <c r="R13" s="11"/>
      <c r="S13" s="11"/>
      <c r="T13" s="11"/>
      <c r="U13" s="11"/>
      <c r="V13" s="20"/>
    </row>
    <row r="14" spans="2:22" x14ac:dyDescent="0.25">
      <c r="B14" s="10"/>
      <c r="C14" s="11"/>
      <c r="D14" s="11"/>
      <c r="E14" s="11"/>
      <c r="F14" s="11"/>
      <c r="G14" s="20"/>
      <c r="I14" s="10"/>
      <c r="J14" s="11"/>
      <c r="K14" s="11"/>
      <c r="L14" s="11"/>
      <c r="M14" s="11"/>
      <c r="N14" s="20"/>
      <c r="Q14" s="10"/>
      <c r="R14" s="11"/>
      <c r="S14" s="11"/>
      <c r="T14" s="11"/>
      <c r="U14" s="11"/>
      <c r="V14" s="20"/>
    </row>
    <row r="15" spans="2:22" x14ac:dyDescent="0.25">
      <c r="B15" s="10"/>
      <c r="C15" s="11"/>
      <c r="D15" s="11"/>
      <c r="E15" s="11"/>
      <c r="F15" s="11"/>
      <c r="G15" s="20"/>
      <c r="I15" s="10"/>
      <c r="J15" s="11"/>
      <c r="K15" s="11"/>
      <c r="L15" s="11"/>
      <c r="M15" s="11"/>
      <c r="N15" s="20"/>
      <c r="Q15" s="10"/>
      <c r="R15" s="11"/>
      <c r="S15" s="11"/>
      <c r="T15" s="11"/>
      <c r="U15" s="11"/>
      <c r="V15" s="20"/>
    </row>
    <row r="16" spans="2:22" x14ac:dyDescent="0.25">
      <c r="B16" s="10"/>
      <c r="C16" s="11"/>
      <c r="D16" s="11"/>
      <c r="E16" s="11"/>
      <c r="F16" s="11"/>
      <c r="G16" s="20"/>
      <c r="I16" s="10"/>
      <c r="J16" s="11"/>
      <c r="K16" s="11"/>
      <c r="L16" s="11"/>
      <c r="M16" s="11"/>
      <c r="N16" s="20"/>
      <c r="Q16" s="10"/>
      <c r="R16" s="11"/>
      <c r="S16" s="11"/>
      <c r="T16" s="11"/>
      <c r="U16" s="11"/>
      <c r="V16" s="20"/>
    </row>
    <row r="17" spans="2:22" x14ac:dyDescent="0.25">
      <c r="B17" s="10"/>
      <c r="C17" s="11"/>
      <c r="D17" s="11"/>
      <c r="E17" s="11"/>
      <c r="F17" s="11"/>
      <c r="G17" s="20"/>
      <c r="I17" s="10"/>
      <c r="J17" s="11"/>
      <c r="K17" s="11"/>
      <c r="L17" s="11"/>
      <c r="M17" s="11"/>
      <c r="N17" s="20"/>
      <c r="Q17" s="10"/>
      <c r="R17" s="11"/>
      <c r="S17" s="11"/>
      <c r="T17" s="11"/>
      <c r="U17" s="11"/>
      <c r="V17" s="20"/>
    </row>
    <row r="18" spans="2:22" x14ac:dyDescent="0.25">
      <c r="B18" s="10"/>
      <c r="C18" s="11"/>
      <c r="D18" s="11"/>
      <c r="E18" s="11"/>
      <c r="F18" s="11"/>
      <c r="G18" s="20"/>
      <c r="I18" s="10"/>
      <c r="J18" s="11"/>
      <c r="K18" s="11"/>
      <c r="L18" s="11"/>
      <c r="M18" s="11"/>
      <c r="N18" s="20"/>
      <c r="Q18" s="10"/>
      <c r="R18" s="11"/>
      <c r="S18" s="11"/>
      <c r="T18" s="11"/>
      <c r="U18" s="11"/>
      <c r="V18" s="20"/>
    </row>
    <row r="19" spans="2:22" x14ac:dyDescent="0.25">
      <c r="B19" s="10"/>
      <c r="C19" s="11"/>
      <c r="D19" s="11"/>
      <c r="E19" s="11"/>
      <c r="F19" s="11"/>
      <c r="G19" s="20"/>
      <c r="I19" s="10"/>
      <c r="J19" s="11"/>
      <c r="K19" s="11"/>
      <c r="L19" s="11"/>
      <c r="M19" s="11"/>
      <c r="N19" s="20"/>
      <c r="Q19" s="10"/>
      <c r="R19" s="11"/>
      <c r="S19" s="11"/>
      <c r="T19" s="11"/>
      <c r="U19" s="11"/>
      <c r="V19" s="20"/>
    </row>
    <row r="20" spans="2:22" x14ac:dyDescent="0.25">
      <c r="B20" s="10"/>
      <c r="C20" s="11"/>
      <c r="D20" s="11"/>
      <c r="E20" s="11"/>
      <c r="F20" s="11"/>
      <c r="G20" s="20"/>
      <c r="I20" s="10"/>
      <c r="J20" s="11"/>
      <c r="K20" s="11"/>
      <c r="L20" s="11"/>
      <c r="M20" s="11"/>
      <c r="N20" s="20"/>
      <c r="Q20" s="10"/>
      <c r="R20" s="11"/>
      <c r="S20" s="11"/>
      <c r="T20" s="11"/>
      <c r="U20" s="11"/>
      <c r="V20" s="20"/>
    </row>
    <row r="21" spans="2:22" x14ac:dyDescent="0.25">
      <c r="B21" s="10"/>
      <c r="C21" s="11"/>
      <c r="D21" s="11"/>
      <c r="E21" s="11"/>
      <c r="F21" s="11"/>
      <c r="G21" s="20"/>
      <c r="I21" s="10"/>
      <c r="J21" s="11"/>
      <c r="K21" s="11"/>
      <c r="L21" s="11"/>
      <c r="M21" s="11"/>
      <c r="N21" s="20"/>
      <c r="Q21" s="10"/>
      <c r="R21" s="11"/>
      <c r="S21" s="11"/>
      <c r="T21" s="11"/>
      <c r="U21" s="11"/>
      <c r="V21" s="20"/>
    </row>
    <row r="22" spans="2:22" x14ac:dyDescent="0.25">
      <c r="B22" s="10"/>
      <c r="C22" s="11"/>
      <c r="D22" s="11"/>
      <c r="E22" s="11"/>
      <c r="F22" s="11"/>
      <c r="G22" s="20"/>
      <c r="I22" s="10"/>
      <c r="J22" s="11"/>
      <c r="K22" s="11"/>
      <c r="L22" s="11"/>
      <c r="M22" s="11"/>
      <c r="N22" s="20"/>
      <c r="Q22" s="10"/>
      <c r="R22" s="11"/>
      <c r="S22" s="11"/>
      <c r="T22" s="11"/>
      <c r="U22" s="11"/>
      <c r="V22" s="20"/>
    </row>
    <row r="23" spans="2:22" x14ac:dyDescent="0.25">
      <c r="B23" s="10"/>
      <c r="C23" s="11"/>
      <c r="D23" s="11"/>
      <c r="E23" s="11"/>
      <c r="F23" s="11"/>
      <c r="G23" s="20"/>
      <c r="I23" s="10"/>
      <c r="J23" s="11"/>
      <c r="K23" s="11"/>
      <c r="L23" s="11"/>
      <c r="M23" s="11"/>
      <c r="N23" s="20"/>
      <c r="Q23" s="10"/>
      <c r="R23" s="11"/>
      <c r="S23" s="11"/>
      <c r="T23" s="11"/>
      <c r="U23" s="11"/>
      <c r="V23" s="20"/>
    </row>
    <row r="24" spans="2:22" x14ac:dyDescent="0.25">
      <c r="B24" s="10"/>
      <c r="C24" s="11"/>
      <c r="D24" s="11"/>
      <c r="E24" s="11"/>
      <c r="F24" s="11"/>
      <c r="G24" s="20"/>
      <c r="I24" s="10"/>
      <c r="J24" s="11"/>
      <c r="K24" s="11"/>
      <c r="L24" s="11"/>
      <c r="M24" s="11"/>
      <c r="N24" s="20"/>
      <c r="Q24" s="10"/>
      <c r="R24" s="11"/>
      <c r="S24" s="11"/>
      <c r="T24" s="11"/>
      <c r="U24" s="11"/>
      <c r="V24" s="20"/>
    </row>
    <row r="25" spans="2:22" x14ac:dyDescent="0.25">
      <c r="B25" s="10"/>
      <c r="C25" s="11"/>
      <c r="D25" s="11"/>
      <c r="E25" s="11"/>
      <c r="F25" s="11"/>
      <c r="G25" s="20"/>
      <c r="I25" s="10"/>
      <c r="J25" s="11"/>
      <c r="K25" s="11"/>
      <c r="L25" s="11"/>
      <c r="M25" s="11"/>
      <c r="N25" s="20"/>
      <c r="Q25" s="10"/>
      <c r="R25" s="11"/>
      <c r="S25" s="11"/>
      <c r="T25" s="11"/>
      <c r="U25" s="11"/>
      <c r="V25" s="20"/>
    </row>
    <row r="26" spans="2:22" x14ac:dyDescent="0.25">
      <c r="B26" s="10"/>
      <c r="C26" s="11"/>
      <c r="D26" s="11"/>
      <c r="E26" s="11"/>
      <c r="F26" s="11"/>
      <c r="G26" s="20"/>
      <c r="I26" s="10"/>
      <c r="J26" s="11"/>
      <c r="K26" s="11"/>
      <c r="L26" s="11"/>
      <c r="M26" s="11"/>
      <c r="N26" s="20"/>
      <c r="Q26" s="10"/>
      <c r="R26" s="11"/>
      <c r="S26" s="11"/>
      <c r="T26" s="11"/>
      <c r="U26" s="11"/>
      <c r="V26" s="20"/>
    </row>
    <row r="27" spans="2:22" x14ac:dyDescent="0.25">
      <c r="B27" s="10"/>
      <c r="C27" s="11"/>
      <c r="D27" s="11"/>
      <c r="E27" s="11"/>
      <c r="F27" s="11"/>
      <c r="G27" s="20"/>
      <c r="I27" s="10"/>
      <c r="J27" s="11"/>
      <c r="K27" s="11"/>
      <c r="L27" s="11"/>
      <c r="M27" s="11"/>
      <c r="N27" s="20"/>
      <c r="Q27" s="10"/>
      <c r="R27" s="11"/>
      <c r="S27" s="11"/>
      <c r="T27" s="11"/>
      <c r="U27" s="11"/>
      <c r="V27" s="20"/>
    </row>
    <row r="28" spans="2:22" x14ac:dyDescent="0.25">
      <c r="B28" s="10"/>
      <c r="C28" s="11"/>
      <c r="D28" s="11"/>
      <c r="E28" s="11"/>
      <c r="F28" s="11"/>
      <c r="G28" s="20"/>
      <c r="I28" s="10"/>
      <c r="J28" s="11"/>
      <c r="K28" s="11"/>
      <c r="L28" s="11"/>
      <c r="M28" s="11"/>
      <c r="N28" s="20"/>
      <c r="Q28" s="10"/>
      <c r="R28" s="11"/>
      <c r="S28" s="11"/>
      <c r="T28" s="11"/>
      <c r="U28" s="11"/>
      <c r="V28" s="20"/>
    </row>
    <row r="29" spans="2:22" x14ac:dyDescent="0.25">
      <c r="B29" s="10"/>
      <c r="C29" s="11"/>
      <c r="D29" s="11"/>
      <c r="E29" s="11"/>
      <c r="F29" s="11"/>
      <c r="G29" s="20"/>
      <c r="I29" s="10"/>
      <c r="J29" s="11"/>
      <c r="K29" s="11"/>
      <c r="L29" s="11"/>
      <c r="M29" s="11"/>
      <c r="N29" s="20"/>
      <c r="Q29" s="10"/>
      <c r="R29" s="11"/>
      <c r="S29" s="11"/>
      <c r="T29" s="11"/>
      <c r="U29" s="11"/>
      <c r="V29" s="20"/>
    </row>
    <row r="30" spans="2:22" x14ac:dyDescent="0.25">
      <c r="B30" s="10"/>
      <c r="C30" s="11"/>
      <c r="D30" s="11"/>
      <c r="E30" s="11"/>
      <c r="F30" s="11"/>
      <c r="G30" s="20"/>
      <c r="I30" s="10"/>
      <c r="J30" s="11"/>
      <c r="K30" s="11"/>
      <c r="L30" s="11"/>
      <c r="M30" s="11"/>
      <c r="N30" s="20"/>
      <c r="Q30" s="10"/>
      <c r="R30" s="11"/>
      <c r="S30" s="11"/>
      <c r="T30" s="11"/>
      <c r="U30" s="11"/>
      <c r="V30" s="20"/>
    </row>
    <row r="31" spans="2:22" x14ac:dyDescent="0.25">
      <c r="B31" s="10"/>
      <c r="C31" s="11"/>
      <c r="D31" s="11"/>
      <c r="E31" s="11"/>
      <c r="F31" s="11"/>
      <c r="G31" s="20"/>
      <c r="I31" s="10"/>
      <c r="J31" s="11"/>
      <c r="K31" s="11"/>
      <c r="L31" s="11"/>
      <c r="M31" s="11"/>
      <c r="N31" s="20"/>
      <c r="Q31" s="10"/>
      <c r="R31" s="11"/>
      <c r="S31" s="11"/>
      <c r="T31" s="11"/>
      <c r="U31" s="11"/>
      <c r="V31" s="20"/>
    </row>
    <row r="32" spans="2:22" x14ac:dyDescent="0.25">
      <c r="B32" s="10"/>
      <c r="C32" s="11"/>
      <c r="D32" s="11"/>
      <c r="E32" s="11"/>
      <c r="F32" s="11"/>
      <c r="G32" s="20"/>
      <c r="I32" s="10"/>
      <c r="J32" s="11"/>
      <c r="K32" s="11"/>
      <c r="L32" s="11"/>
      <c r="M32" s="11"/>
      <c r="N32" s="20"/>
      <c r="Q32" s="10"/>
      <c r="R32" s="11"/>
      <c r="S32" s="11"/>
      <c r="T32" s="11"/>
      <c r="U32" s="11"/>
      <c r="V32" s="20"/>
    </row>
    <row r="33" spans="2:22" x14ac:dyDescent="0.25">
      <c r="B33" s="10"/>
      <c r="C33" s="11"/>
      <c r="D33" s="11"/>
      <c r="E33" s="11"/>
      <c r="F33" s="11"/>
      <c r="G33" s="20"/>
      <c r="I33" s="10"/>
      <c r="J33" s="11"/>
      <c r="K33" s="11"/>
      <c r="L33" s="11"/>
      <c r="M33" s="11"/>
      <c r="N33" s="20"/>
      <c r="Q33" s="10"/>
      <c r="R33" s="11"/>
      <c r="S33" s="11"/>
      <c r="T33" s="11"/>
      <c r="U33" s="11"/>
      <c r="V33" s="20"/>
    </row>
    <row r="34" spans="2:22" x14ac:dyDescent="0.25">
      <c r="B34" s="10"/>
      <c r="C34" s="11"/>
      <c r="D34" s="11"/>
      <c r="E34" s="11"/>
      <c r="F34" s="11"/>
      <c r="G34" s="20"/>
      <c r="I34" s="10"/>
      <c r="J34" s="11"/>
      <c r="K34" s="11"/>
      <c r="L34" s="11"/>
      <c r="M34" s="11"/>
      <c r="N34" s="20"/>
      <c r="Q34" s="10"/>
      <c r="R34" s="11"/>
      <c r="S34" s="11"/>
      <c r="T34" s="11"/>
      <c r="U34" s="11"/>
      <c r="V34" s="20"/>
    </row>
    <row r="35" spans="2:22" x14ac:dyDescent="0.25">
      <c r="B35" s="10"/>
      <c r="C35" s="11"/>
      <c r="D35" s="11"/>
      <c r="E35" s="11"/>
      <c r="F35" s="11"/>
      <c r="G35" s="20"/>
      <c r="I35" s="10"/>
      <c r="J35" s="11"/>
      <c r="K35" s="11"/>
      <c r="L35" s="11"/>
      <c r="M35" s="11"/>
      <c r="N35" s="20"/>
      <c r="Q35" s="10"/>
      <c r="R35" s="11"/>
      <c r="S35" s="11"/>
      <c r="T35" s="11"/>
      <c r="U35" s="11"/>
      <c r="V35" s="20"/>
    </row>
    <row r="36" spans="2:22" x14ac:dyDescent="0.25">
      <c r="B36" s="10"/>
      <c r="C36" s="11"/>
      <c r="D36" s="11"/>
      <c r="E36" s="11"/>
      <c r="F36" s="11"/>
      <c r="G36" s="20"/>
      <c r="I36" s="10"/>
      <c r="J36" s="11"/>
      <c r="K36" s="11"/>
      <c r="L36" s="11"/>
      <c r="M36" s="11"/>
      <c r="N36" s="20"/>
      <c r="Q36" s="10"/>
      <c r="R36" s="11"/>
      <c r="S36" s="11"/>
      <c r="T36" s="11"/>
      <c r="U36" s="11"/>
      <c r="V36" s="20"/>
    </row>
    <row r="37" spans="2:22" x14ac:dyDescent="0.25">
      <c r="B37" s="10"/>
      <c r="C37" s="11"/>
      <c r="D37" s="11"/>
      <c r="E37" s="11"/>
      <c r="F37" s="11"/>
      <c r="G37" s="20"/>
      <c r="I37" s="10"/>
      <c r="J37" s="11"/>
      <c r="K37" s="11"/>
      <c r="L37" s="11"/>
      <c r="M37" s="11"/>
      <c r="N37" s="20"/>
      <c r="Q37" s="10"/>
      <c r="R37" s="11"/>
      <c r="S37" s="11"/>
      <c r="T37" s="11"/>
      <c r="U37" s="11"/>
      <c r="V37" s="20"/>
    </row>
    <row r="38" spans="2:22" x14ac:dyDescent="0.25">
      <c r="B38" s="10"/>
      <c r="C38" s="11"/>
      <c r="D38" s="11"/>
      <c r="E38" s="11"/>
      <c r="F38" s="11"/>
      <c r="G38" s="20"/>
      <c r="I38" s="10"/>
      <c r="J38" s="11"/>
      <c r="K38" s="11"/>
      <c r="L38" s="11"/>
      <c r="M38" s="11"/>
      <c r="N38" s="20"/>
      <c r="Q38" s="10"/>
      <c r="R38" s="11"/>
      <c r="S38" s="11"/>
      <c r="T38" s="11"/>
      <c r="U38" s="11"/>
      <c r="V38" s="20"/>
    </row>
    <row r="39" spans="2:22" x14ac:dyDescent="0.25">
      <c r="B39" s="10"/>
      <c r="C39" s="11"/>
      <c r="D39" s="11"/>
      <c r="E39" s="11"/>
      <c r="F39" s="11"/>
      <c r="G39" s="20"/>
      <c r="I39" s="10"/>
      <c r="J39" s="11"/>
      <c r="K39" s="11"/>
      <c r="L39" s="11"/>
      <c r="M39" s="11"/>
      <c r="N39" s="20"/>
      <c r="Q39" s="10"/>
      <c r="R39" s="11"/>
      <c r="S39" s="11"/>
      <c r="T39" s="11"/>
      <c r="U39" s="11"/>
      <c r="V39" s="20"/>
    </row>
    <row r="40" spans="2:22" x14ac:dyDescent="0.25">
      <c r="B40" s="10"/>
      <c r="C40" s="11"/>
      <c r="D40" s="11"/>
      <c r="E40" s="11"/>
      <c r="F40" s="11"/>
      <c r="G40" s="20"/>
      <c r="I40" s="10"/>
      <c r="J40" s="11"/>
      <c r="K40" s="11"/>
      <c r="L40" s="11"/>
      <c r="M40" s="11"/>
      <c r="N40" s="20"/>
      <c r="Q40" s="10"/>
      <c r="R40" s="11"/>
      <c r="S40" s="11"/>
      <c r="T40" s="11"/>
      <c r="U40" s="11"/>
      <c r="V40" s="20"/>
    </row>
    <row r="41" spans="2:22" x14ac:dyDescent="0.25">
      <c r="B41" s="10"/>
      <c r="C41" s="11"/>
      <c r="D41" s="11"/>
      <c r="E41" s="11"/>
      <c r="F41" s="11"/>
      <c r="G41" s="20"/>
      <c r="I41" s="10"/>
      <c r="J41" s="11"/>
      <c r="K41" s="11"/>
      <c r="L41" s="11"/>
      <c r="M41" s="11"/>
      <c r="N41" s="20"/>
      <c r="Q41" s="10"/>
      <c r="R41" s="11"/>
      <c r="S41" s="11"/>
      <c r="T41" s="11"/>
      <c r="U41" s="11"/>
      <c r="V41" s="20"/>
    </row>
    <row r="42" spans="2:22" x14ac:dyDescent="0.25">
      <c r="B42" s="10"/>
      <c r="C42" s="11"/>
      <c r="D42" s="11"/>
      <c r="E42" s="11"/>
      <c r="F42" s="11"/>
      <c r="G42" s="20"/>
      <c r="I42" s="10"/>
      <c r="J42" s="11"/>
      <c r="K42" s="11"/>
      <c r="L42" s="11"/>
      <c r="M42" s="11"/>
      <c r="N42" s="20"/>
      <c r="Q42" s="10"/>
      <c r="R42" s="11"/>
      <c r="S42" s="11"/>
      <c r="T42" s="11"/>
      <c r="U42" s="11"/>
      <c r="V42" s="20"/>
    </row>
    <row r="43" spans="2:22" x14ac:dyDescent="0.25">
      <c r="B43" s="10"/>
      <c r="C43" s="11"/>
      <c r="D43" s="11"/>
      <c r="E43" s="11"/>
      <c r="F43" s="11"/>
      <c r="G43" s="20"/>
      <c r="I43" s="10"/>
      <c r="J43" s="11"/>
      <c r="K43" s="11"/>
      <c r="L43" s="11"/>
      <c r="M43" s="11"/>
      <c r="N43" s="20"/>
      <c r="Q43" s="10"/>
      <c r="R43" s="11"/>
      <c r="S43" s="11"/>
      <c r="T43" s="11"/>
      <c r="U43" s="11"/>
      <c r="V43" s="20"/>
    </row>
    <row r="44" spans="2:22" x14ac:dyDescent="0.25">
      <c r="B44" s="10"/>
      <c r="C44" s="11"/>
      <c r="D44" s="11"/>
      <c r="E44" s="11"/>
      <c r="F44" s="11"/>
      <c r="G44" s="20"/>
      <c r="I44" s="10"/>
      <c r="J44" s="11"/>
      <c r="K44" s="11"/>
      <c r="L44" s="11"/>
      <c r="M44" s="11"/>
      <c r="N44" s="20"/>
      <c r="Q44" s="10"/>
      <c r="R44" s="11"/>
      <c r="S44" s="11"/>
      <c r="T44" s="11"/>
      <c r="U44" s="11"/>
      <c r="V44" s="20"/>
    </row>
    <row r="45" spans="2:22" x14ac:dyDescent="0.25">
      <c r="B45" s="10"/>
      <c r="C45" s="11"/>
      <c r="D45" s="11"/>
      <c r="E45" s="11"/>
      <c r="F45" s="11"/>
      <c r="G45" s="20"/>
      <c r="I45" s="10"/>
      <c r="J45" s="11"/>
      <c r="K45" s="11"/>
      <c r="L45" s="11"/>
      <c r="M45" s="11"/>
      <c r="N45" s="20"/>
      <c r="Q45" s="10"/>
      <c r="R45" s="11"/>
      <c r="S45" s="11"/>
      <c r="T45" s="11"/>
      <c r="U45" s="11"/>
      <c r="V45" s="20"/>
    </row>
    <row r="46" spans="2:22" x14ac:dyDescent="0.25">
      <c r="B46" s="10"/>
      <c r="C46" s="11"/>
      <c r="D46" s="11"/>
      <c r="E46" s="11"/>
      <c r="F46" s="11"/>
      <c r="G46" s="20"/>
      <c r="I46" s="10"/>
      <c r="J46" s="11"/>
      <c r="K46" s="11"/>
      <c r="L46" s="11"/>
      <c r="M46" s="11"/>
      <c r="N46" s="20"/>
      <c r="Q46" s="10"/>
      <c r="R46" s="11"/>
      <c r="S46" s="11"/>
      <c r="T46" s="11"/>
      <c r="U46" s="11"/>
      <c r="V46" s="20"/>
    </row>
    <row r="47" spans="2:22" x14ac:dyDescent="0.25">
      <c r="B47" s="10"/>
      <c r="C47" s="11"/>
      <c r="D47" s="11"/>
      <c r="E47" s="11"/>
      <c r="F47" s="11"/>
      <c r="G47" s="20"/>
      <c r="I47" s="10"/>
      <c r="J47" s="11"/>
      <c r="K47" s="11"/>
      <c r="L47" s="11"/>
      <c r="M47" s="11"/>
      <c r="N47" s="20"/>
      <c r="Q47" s="10"/>
      <c r="R47" s="11"/>
      <c r="S47" s="11"/>
      <c r="T47" s="11"/>
      <c r="U47" s="11"/>
      <c r="V47" s="20"/>
    </row>
    <row r="48" spans="2:22" x14ac:dyDescent="0.25">
      <c r="B48" s="10"/>
      <c r="C48" s="11"/>
      <c r="D48" s="11"/>
      <c r="E48" s="11"/>
      <c r="F48" s="11"/>
      <c r="G48" s="20"/>
      <c r="I48" s="10"/>
      <c r="J48" s="11"/>
      <c r="K48" s="11"/>
      <c r="L48" s="11"/>
      <c r="M48" s="11"/>
      <c r="N48" s="20"/>
      <c r="Q48" s="10"/>
      <c r="R48" s="11"/>
      <c r="S48" s="11"/>
      <c r="T48" s="11"/>
      <c r="U48" s="11"/>
      <c r="V48" s="20"/>
    </row>
    <row r="49" spans="2:22" x14ac:dyDescent="0.25">
      <c r="B49" s="10"/>
      <c r="C49" s="11"/>
      <c r="D49" s="11"/>
      <c r="E49" s="11"/>
      <c r="F49" s="11"/>
      <c r="G49" s="20"/>
      <c r="I49" s="10"/>
      <c r="J49" s="11"/>
      <c r="K49" s="11"/>
      <c r="L49" s="11"/>
      <c r="M49" s="11"/>
      <c r="N49" s="20"/>
      <c r="Q49" s="10"/>
      <c r="R49" s="11"/>
      <c r="S49" s="11"/>
      <c r="T49" s="11"/>
      <c r="U49" s="11"/>
      <c r="V49" s="20"/>
    </row>
    <row r="50" spans="2:22" x14ac:dyDescent="0.25">
      <c r="B50" s="10"/>
      <c r="C50" s="11"/>
      <c r="D50" s="11"/>
      <c r="E50" s="11"/>
      <c r="F50" s="11"/>
      <c r="G50" s="20"/>
      <c r="I50" s="10"/>
      <c r="J50" s="11"/>
      <c r="K50" s="11"/>
      <c r="L50" s="11"/>
      <c r="M50" s="11"/>
      <c r="N50" s="20"/>
      <c r="Q50" s="10"/>
      <c r="R50" s="11"/>
      <c r="S50" s="11"/>
      <c r="T50" s="11"/>
      <c r="U50" s="11"/>
      <c r="V50" s="20"/>
    </row>
    <row r="51" spans="2:22" x14ac:dyDescent="0.25">
      <c r="B51" s="10"/>
      <c r="C51" s="11"/>
      <c r="D51" s="11"/>
      <c r="E51" s="11"/>
      <c r="F51" s="11"/>
      <c r="G51" s="20"/>
      <c r="I51" s="10"/>
      <c r="J51" s="11"/>
      <c r="K51" s="11"/>
      <c r="L51" s="11"/>
      <c r="M51" s="11"/>
      <c r="N51" s="20"/>
      <c r="Q51" s="10"/>
      <c r="R51" s="11"/>
      <c r="S51" s="11"/>
      <c r="T51" s="11"/>
      <c r="U51" s="11"/>
      <c r="V51" s="20"/>
    </row>
    <row r="52" spans="2:22" x14ac:dyDescent="0.25">
      <c r="B52" s="10"/>
      <c r="C52" s="11"/>
      <c r="D52" s="11"/>
      <c r="E52" s="11"/>
      <c r="F52" s="11"/>
      <c r="G52" s="20"/>
      <c r="I52" s="10"/>
      <c r="J52" s="11"/>
      <c r="K52" s="11"/>
      <c r="L52" s="11"/>
      <c r="M52" s="11"/>
      <c r="N52" s="20"/>
      <c r="Q52" s="10"/>
      <c r="R52" s="11"/>
      <c r="S52" s="11"/>
      <c r="T52" s="11"/>
      <c r="U52" s="11"/>
      <c r="V52" s="20"/>
    </row>
    <row r="53" spans="2:22" x14ac:dyDescent="0.25">
      <c r="B53" s="10"/>
      <c r="C53" s="11"/>
      <c r="D53" s="11"/>
      <c r="E53" s="11"/>
      <c r="F53" s="11"/>
      <c r="G53" s="20"/>
      <c r="I53" s="10"/>
      <c r="J53" s="11"/>
      <c r="K53" s="11"/>
      <c r="L53" s="11"/>
      <c r="M53" s="11"/>
      <c r="N53" s="20"/>
      <c r="Q53" s="10"/>
      <c r="R53" s="11"/>
      <c r="S53" s="11"/>
      <c r="T53" s="11"/>
      <c r="U53" s="11"/>
      <c r="V53" s="20"/>
    </row>
    <row r="54" spans="2:22" x14ac:dyDescent="0.25">
      <c r="B54" s="10"/>
      <c r="C54" s="11"/>
      <c r="D54" s="11"/>
      <c r="E54" s="11"/>
      <c r="F54" s="11"/>
      <c r="G54" s="20"/>
      <c r="I54" s="10"/>
      <c r="J54" s="11"/>
      <c r="K54" s="11"/>
      <c r="L54" s="11"/>
      <c r="M54" s="11"/>
      <c r="N54" s="20"/>
      <c r="Q54" s="10"/>
      <c r="R54" s="11"/>
      <c r="S54" s="11"/>
      <c r="T54" s="11"/>
      <c r="U54" s="11"/>
      <c r="V54" s="20"/>
    </row>
    <row r="55" spans="2:22" x14ac:dyDescent="0.25">
      <c r="B55" s="10"/>
      <c r="C55" s="11"/>
      <c r="D55" s="11"/>
      <c r="E55" s="11"/>
      <c r="F55" s="11"/>
      <c r="G55" s="20"/>
      <c r="I55" s="10"/>
      <c r="J55" s="11"/>
      <c r="K55" s="11"/>
      <c r="L55" s="11"/>
      <c r="M55" s="11"/>
      <c r="N55" s="20"/>
      <c r="Q55" s="10"/>
      <c r="R55" s="11"/>
      <c r="S55" s="11"/>
      <c r="T55" s="11"/>
      <c r="U55" s="11"/>
      <c r="V55" s="20"/>
    </row>
    <row r="56" spans="2:22" x14ac:dyDescent="0.25">
      <c r="B56" s="10"/>
      <c r="C56" s="11"/>
      <c r="D56" s="11"/>
      <c r="E56" s="11"/>
      <c r="F56" s="11"/>
      <c r="G56" s="20"/>
      <c r="I56" s="10"/>
      <c r="J56" s="11"/>
      <c r="K56" s="11"/>
      <c r="L56" s="11"/>
      <c r="M56" s="11"/>
      <c r="N56" s="20"/>
      <c r="Q56" s="10"/>
      <c r="R56" s="11"/>
      <c r="S56" s="11"/>
      <c r="T56" s="11"/>
      <c r="U56" s="11"/>
      <c r="V56" s="20"/>
    </row>
    <row r="57" spans="2:22" x14ac:dyDescent="0.25">
      <c r="B57" s="10"/>
      <c r="C57" s="11"/>
      <c r="D57" s="11"/>
      <c r="E57" s="11"/>
      <c r="F57" s="11"/>
      <c r="G57" s="20"/>
      <c r="I57" s="10"/>
      <c r="J57" s="11"/>
      <c r="K57" s="11"/>
      <c r="L57" s="11"/>
      <c r="M57" s="11"/>
      <c r="N57" s="20"/>
      <c r="Q57" s="10"/>
      <c r="R57" s="11"/>
      <c r="S57" s="11"/>
      <c r="T57" s="11"/>
      <c r="U57" s="11"/>
      <c r="V57" s="20"/>
    </row>
    <row r="58" spans="2:22" x14ac:dyDescent="0.25">
      <c r="B58" s="10"/>
      <c r="C58" s="11"/>
      <c r="D58" s="11"/>
      <c r="E58" s="11"/>
      <c r="F58" s="11"/>
      <c r="G58" s="20"/>
      <c r="I58" s="10"/>
      <c r="J58" s="11"/>
      <c r="K58" s="11"/>
      <c r="L58" s="11"/>
      <c r="M58" s="11"/>
      <c r="N58" s="20"/>
      <c r="Q58" s="10"/>
      <c r="R58" s="11"/>
      <c r="S58" s="11"/>
      <c r="T58" s="11"/>
      <c r="U58" s="11"/>
      <c r="V58" s="20"/>
    </row>
    <row r="59" spans="2:22" x14ac:dyDescent="0.25">
      <c r="B59" s="10"/>
      <c r="C59" s="11"/>
      <c r="D59" s="11"/>
      <c r="E59" s="11"/>
      <c r="F59" s="11"/>
      <c r="G59" s="20"/>
      <c r="I59" s="10"/>
      <c r="J59" s="11"/>
      <c r="K59" s="11"/>
      <c r="L59" s="11"/>
      <c r="M59" s="11"/>
      <c r="N59" s="20"/>
      <c r="Q59" s="10"/>
      <c r="R59" s="11"/>
      <c r="S59" s="11"/>
      <c r="T59" s="11"/>
      <c r="U59" s="11"/>
      <c r="V59" s="20"/>
    </row>
    <row r="60" spans="2:22" x14ac:dyDescent="0.25">
      <c r="B60" s="10"/>
      <c r="C60" s="11"/>
      <c r="D60" s="11"/>
      <c r="E60" s="11"/>
      <c r="F60" s="11"/>
      <c r="G60" s="20"/>
      <c r="I60" s="10"/>
      <c r="J60" s="11"/>
      <c r="K60" s="11"/>
      <c r="L60" s="11"/>
      <c r="M60" s="11"/>
      <c r="N60" s="20"/>
      <c r="Q60" s="10"/>
      <c r="R60" s="11"/>
      <c r="S60" s="11"/>
      <c r="T60" s="11"/>
      <c r="U60" s="11"/>
      <c r="V60" s="20"/>
    </row>
    <row r="61" spans="2:22" x14ac:dyDescent="0.25">
      <c r="B61" s="10"/>
      <c r="C61" s="11"/>
      <c r="D61" s="11"/>
      <c r="E61" s="11"/>
      <c r="F61" s="11"/>
      <c r="G61" s="20"/>
      <c r="I61" s="10"/>
      <c r="J61" s="11"/>
      <c r="K61" s="11"/>
      <c r="L61" s="11"/>
      <c r="M61" s="11"/>
      <c r="N61" s="20"/>
      <c r="Q61" s="10"/>
      <c r="R61" s="11"/>
      <c r="S61" s="11"/>
      <c r="T61" s="11"/>
      <c r="U61" s="11"/>
      <c r="V61" s="20"/>
    </row>
    <row r="62" spans="2:22" x14ac:dyDescent="0.25">
      <c r="B62" s="10"/>
      <c r="C62" s="11"/>
      <c r="D62" s="11"/>
      <c r="E62" s="11"/>
      <c r="F62" s="11"/>
      <c r="G62" s="20"/>
      <c r="I62" s="10"/>
      <c r="J62" s="11"/>
      <c r="K62" s="11"/>
      <c r="L62" s="11"/>
      <c r="M62" s="11"/>
      <c r="N62" s="20"/>
      <c r="Q62" s="10"/>
      <c r="R62" s="11"/>
      <c r="S62" s="11"/>
      <c r="T62" s="11"/>
      <c r="U62" s="11"/>
      <c r="V62" s="20"/>
    </row>
    <row r="63" spans="2:22" x14ac:dyDescent="0.25">
      <c r="B63" s="10"/>
      <c r="C63" s="11"/>
      <c r="D63" s="11"/>
      <c r="E63" s="11"/>
      <c r="F63" s="11"/>
      <c r="G63" s="20"/>
      <c r="I63" s="10"/>
      <c r="J63" s="11"/>
      <c r="K63" s="11"/>
      <c r="L63" s="11"/>
      <c r="M63" s="11"/>
      <c r="N63" s="20"/>
      <c r="Q63" s="10"/>
      <c r="R63" s="11"/>
      <c r="S63" s="11"/>
      <c r="T63" s="11"/>
      <c r="U63" s="11"/>
      <c r="V63" s="20"/>
    </row>
    <row r="64" spans="2:22" x14ac:dyDescent="0.25">
      <c r="B64" s="10"/>
      <c r="C64" s="11"/>
      <c r="D64" s="11"/>
      <c r="E64" s="11"/>
      <c r="F64" s="11"/>
      <c r="G64" s="20"/>
      <c r="I64" s="10"/>
      <c r="J64" s="11"/>
      <c r="K64" s="11"/>
      <c r="L64" s="11"/>
      <c r="M64" s="11"/>
      <c r="N64" s="20"/>
      <c r="Q64" s="10"/>
      <c r="R64" s="11"/>
      <c r="S64" s="11"/>
      <c r="T64" s="11"/>
      <c r="U64" s="11"/>
      <c r="V64" s="20"/>
    </row>
    <row r="65" spans="2:22" x14ac:dyDescent="0.25">
      <c r="B65" s="10"/>
      <c r="C65" s="11"/>
      <c r="D65" s="11"/>
      <c r="E65" s="11"/>
      <c r="F65" s="11"/>
      <c r="G65" s="20"/>
      <c r="I65" s="10"/>
      <c r="J65" s="11"/>
      <c r="K65" s="11"/>
      <c r="L65" s="11"/>
      <c r="M65" s="11"/>
      <c r="N65" s="20"/>
      <c r="Q65" s="10"/>
      <c r="R65" s="11"/>
      <c r="S65" s="11"/>
      <c r="T65" s="11"/>
      <c r="U65" s="11"/>
      <c r="V65" s="20"/>
    </row>
    <row r="66" spans="2:22" x14ac:dyDescent="0.25">
      <c r="B66" s="10"/>
      <c r="C66" s="313" t="s">
        <v>316</v>
      </c>
      <c r="D66" s="445">
        <f>'Customer Calc'!G124</f>
        <v>5.250930352308792E-2</v>
      </c>
      <c r="E66" s="314" t="s">
        <v>8</v>
      </c>
      <c r="F66" s="11"/>
      <c r="G66" s="20"/>
      <c r="I66" s="10"/>
      <c r="J66" s="313" t="s">
        <v>316</v>
      </c>
      <c r="K66" s="445">
        <f>'Customer Calc'!AM124</f>
        <v>6.1544794613799672E-3</v>
      </c>
      <c r="L66" s="314" t="s">
        <v>8</v>
      </c>
      <c r="M66" s="11"/>
      <c r="N66" s="20"/>
      <c r="Q66" s="10"/>
      <c r="R66" s="456" t="s">
        <v>316</v>
      </c>
      <c r="S66" s="457">
        <f>'Customer Calc'!BR30</f>
        <v>1.2432702602513862E-2</v>
      </c>
      <c r="T66" s="314" t="s">
        <v>8</v>
      </c>
      <c r="U66" s="11"/>
      <c r="V66" s="20"/>
    </row>
    <row r="67" spans="2:22" x14ac:dyDescent="0.25">
      <c r="B67" s="10"/>
      <c r="C67" s="272"/>
      <c r="D67" s="312"/>
      <c r="E67" s="11"/>
      <c r="F67" s="11"/>
      <c r="G67" s="20"/>
      <c r="I67" s="10"/>
      <c r="J67" s="272"/>
      <c r="K67" s="312"/>
      <c r="L67" s="11"/>
      <c r="M67" s="11"/>
      <c r="N67" s="20"/>
      <c r="Q67" s="10"/>
      <c r="R67" s="11"/>
      <c r="S67" s="11"/>
      <c r="T67" s="11"/>
      <c r="U67" s="11"/>
      <c r="V67" s="20"/>
    </row>
    <row r="68" spans="2:22" x14ac:dyDescent="0.25">
      <c r="B68" s="10"/>
      <c r="C68" s="272"/>
      <c r="D68" s="312"/>
      <c r="E68" s="11"/>
      <c r="F68" s="11"/>
      <c r="G68" s="20"/>
      <c r="I68" s="10"/>
      <c r="J68" s="272"/>
      <c r="K68" s="312"/>
      <c r="L68" s="11"/>
      <c r="M68" s="11"/>
      <c r="N68" s="20"/>
      <c r="Q68" s="10"/>
      <c r="R68" s="11"/>
      <c r="S68" s="11"/>
      <c r="T68" s="11"/>
      <c r="U68" s="11"/>
      <c r="V68" s="20"/>
    </row>
    <row r="69" spans="2:22" x14ac:dyDescent="0.25">
      <c r="B69" s="10"/>
      <c r="C69" s="272"/>
      <c r="D69" s="312"/>
      <c r="E69" s="11"/>
      <c r="F69" s="11"/>
      <c r="G69" s="20"/>
      <c r="I69" s="10"/>
      <c r="J69" s="272"/>
      <c r="K69" s="312"/>
      <c r="L69" s="11"/>
      <c r="M69" s="11"/>
      <c r="N69" s="20"/>
      <c r="Q69" s="10"/>
      <c r="R69" s="11"/>
      <c r="S69" s="11"/>
      <c r="T69" s="11"/>
      <c r="U69" s="11"/>
      <c r="V69" s="20"/>
    </row>
    <row r="70" spans="2:22" x14ac:dyDescent="0.25">
      <c r="B70" s="10"/>
      <c r="C70" s="272"/>
      <c r="D70" s="312"/>
      <c r="E70" s="11"/>
      <c r="F70" s="11"/>
      <c r="G70" s="20"/>
      <c r="I70" s="10"/>
      <c r="J70" s="272"/>
      <c r="K70" s="312"/>
      <c r="L70" s="11"/>
      <c r="M70" s="11"/>
      <c r="N70" s="20"/>
      <c r="Q70" s="10"/>
      <c r="R70" s="11"/>
      <c r="S70" s="11"/>
      <c r="T70" s="11"/>
      <c r="U70" s="11"/>
      <c r="V70" s="20"/>
    </row>
    <row r="71" spans="2:22" x14ac:dyDescent="0.25">
      <c r="B71" s="10"/>
      <c r="C71" s="272"/>
      <c r="D71" s="312"/>
      <c r="E71" s="11"/>
      <c r="F71" s="11"/>
      <c r="G71" s="20"/>
      <c r="I71" s="10"/>
      <c r="J71" s="272"/>
      <c r="K71" s="312"/>
      <c r="L71" s="11"/>
      <c r="M71" s="11"/>
      <c r="N71" s="20"/>
      <c r="Q71" s="10"/>
      <c r="R71" s="11"/>
      <c r="S71" s="11"/>
      <c r="T71" s="11"/>
      <c r="U71" s="11"/>
      <c r="V71" s="20"/>
    </row>
    <row r="72" spans="2:22" x14ac:dyDescent="0.25">
      <c r="B72" s="10"/>
      <c r="C72" s="272"/>
      <c r="D72" s="312"/>
      <c r="E72" s="11"/>
      <c r="F72" s="11"/>
      <c r="G72" s="20"/>
      <c r="I72" s="10"/>
      <c r="J72" s="272"/>
      <c r="K72" s="312"/>
      <c r="L72" s="11"/>
      <c r="M72" s="11"/>
      <c r="N72" s="20"/>
      <c r="Q72" s="10"/>
      <c r="R72" s="11"/>
      <c r="S72" s="11"/>
      <c r="T72" s="11"/>
      <c r="U72" s="11"/>
      <c r="V72" s="20"/>
    </row>
    <row r="73" spans="2:22" x14ac:dyDescent="0.25">
      <c r="B73" s="10"/>
      <c r="C73" s="272"/>
      <c r="D73" s="312"/>
      <c r="E73" s="11"/>
      <c r="F73" s="11"/>
      <c r="G73" s="20"/>
      <c r="I73" s="10"/>
      <c r="J73" s="272"/>
      <c r="K73" s="312"/>
      <c r="L73" s="11"/>
      <c r="M73" s="11"/>
      <c r="N73" s="20"/>
      <c r="Q73" s="10"/>
      <c r="R73" s="11"/>
      <c r="S73" s="11"/>
      <c r="T73" s="11"/>
      <c r="U73" s="11"/>
      <c r="V73" s="20"/>
    </row>
    <row r="74" spans="2:22" x14ac:dyDescent="0.25">
      <c r="B74" s="10"/>
      <c r="C74" s="272"/>
      <c r="D74" s="312"/>
      <c r="E74" s="11"/>
      <c r="F74" s="11"/>
      <c r="G74" s="20"/>
      <c r="I74" s="10"/>
      <c r="J74" s="272"/>
      <c r="K74" s="312"/>
      <c r="L74" s="11"/>
      <c r="M74" s="11"/>
      <c r="N74" s="20"/>
      <c r="Q74" s="10"/>
      <c r="R74" s="11"/>
      <c r="S74" s="11"/>
      <c r="T74" s="11"/>
      <c r="U74" s="11"/>
      <c r="V74" s="20"/>
    </row>
    <row r="75" spans="2:22" x14ac:dyDescent="0.25">
      <c r="B75" s="10"/>
      <c r="C75" s="272"/>
      <c r="D75" s="312"/>
      <c r="E75" s="11"/>
      <c r="F75" s="11"/>
      <c r="G75" s="20"/>
      <c r="I75" s="10"/>
      <c r="J75" s="272"/>
      <c r="K75" s="312"/>
      <c r="L75" s="11"/>
      <c r="M75" s="11"/>
      <c r="N75" s="20"/>
      <c r="Q75" s="10"/>
      <c r="R75" s="11"/>
      <c r="S75" s="11"/>
      <c r="T75" s="11"/>
      <c r="U75" s="11"/>
      <c r="V75" s="20"/>
    </row>
    <row r="76" spans="2:22" x14ac:dyDescent="0.25">
      <c r="B76" s="10"/>
      <c r="C76" s="272"/>
      <c r="D76" s="312"/>
      <c r="E76" s="11"/>
      <c r="F76" s="11"/>
      <c r="G76" s="20"/>
      <c r="I76" s="10"/>
      <c r="J76" s="272"/>
      <c r="K76" s="312"/>
      <c r="L76" s="11"/>
      <c r="M76" s="11"/>
      <c r="N76" s="20"/>
      <c r="Q76" s="10"/>
      <c r="R76" s="11"/>
      <c r="S76" s="11"/>
      <c r="T76" s="11"/>
      <c r="U76" s="11"/>
      <c r="V76" s="20"/>
    </row>
    <row r="77" spans="2:22" x14ac:dyDescent="0.25">
      <c r="B77" s="10"/>
      <c r="C77" s="272"/>
      <c r="D77" s="312"/>
      <c r="E77" s="11"/>
      <c r="F77" s="11"/>
      <c r="G77" s="20"/>
      <c r="I77" s="10"/>
      <c r="J77" s="272"/>
      <c r="K77" s="312"/>
      <c r="L77" s="11"/>
      <c r="M77" s="11"/>
      <c r="N77" s="20"/>
      <c r="Q77" s="10"/>
      <c r="R77" s="11"/>
      <c r="S77" s="11"/>
      <c r="T77" s="11"/>
      <c r="U77" s="11"/>
      <c r="V77" s="20"/>
    </row>
    <row r="78" spans="2:22" x14ac:dyDescent="0.25">
      <c r="B78" s="10"/>
      <c r="C78" s="272"/>
      <c r="D78" s="312"/>
      <c r="E78" s="11"/>
      <c r="F78" s="11"/>
      <c r="G78" s="20"/>
      <c r="I78" s="10"/>
      <c r="J78" s="272"/>
      <c r="K78" s="312"/>
      <c r="L78" s="11"/>
      <c r="M78" s="11"/>
      <c r="N78" s="20"/>
      <c r="Q78" s="10"/>
      <c r="R78" s="11"/>
      <c r="S78" s="11"/>
      <c r="T78" s="11"/>
      <c r="U78" s="11"/>
      <c r="V78" s="20"/>
    </row>
    <row r="79" spans="2:22" x14ac:dyDescent="0.25">
      <c r="B79" s="10"/>
      <c r="C79" s="272"/>
      <c r="D79" s="312"/>
      <c r="E79" s="11"/>
      <c r="F79" s="11"/>
      <c r="G79" s="20"/>
      <c r="I79" s="10"/>
      <c r="J79" s="272"/>
      <c r="K79" s="312"/>
      <c r="L79" s="11"/>
      <c r="M79" s="11"/>
      <c r="N79" s="20"/>
      <c r="Q79" s="10"/>
      <c r="R79" s="11"/>
      <c r="S79" s="11"/>
      <c r="T79" s="11"/>
      <c r="U79" s="11"/>
      <c r="V79" s="20"/>
    </row>
    <row r="80" spans="2:22" x14ac:dyDescent="0.25">
      <c r="B80" s="10"/>
      <c r="C80" s="272"/>
      <c r="D80" s="312"/>
      <c r="E80" s="11"/>
      <c r="F80" s="11"/>
      <c r="G80" s="20"/>
      <c r="I80" s="10"/>
      <c r="J80" s="272"/>
      <c r="K80" s="312"/>
      <c r="L80" s="11"/>
      <c r="M80" s="11"/>
      <c r="N80" s="20"/>
      <c r="Q80" s="10"/>
      <c r="R80" s="11"/>
      <c r="S80" s="11"/>
      <c r="T80" s="11"/>
      <c r="U80" s="11"/>
      <c r="V80" s="20"/>
    </row>
    <row r="81" spans="2:22" x14ac:dyDescent="0.25">
      <c r="B81" s="10"/>
      <c r="C81" s="272"/>
      <c r="D81" s="312"/>
      <c r="E81" s="11"/>
      <c r="F81" s="11"/>
      <c r="G81" s="20"/>
      <c r="I81" s="10"/>
      <c r="J81" s="272"/>
      <c r="K81" s="312"/>
      <c r="L81" s="11"/>
      <c r="M81" s="11"/>
      <c r="N81" s="20"/>
      <c r="Q81" s="10"/>
      <c r="R81" s="11"/>
      <c r="S81" s="11"/>
      <c r="T81" s="11"/>
      <c r="U81" s="11"/>
      <c r="V81" s="20"/>
    </row>
    <row r="82" spans="2:22" x14ac:dyDescent="0.25">
      <c r="B82" s="26"/>
      <c r="C82" s="29"/>
      <c r="D82" s="29"/>
      <c r="E82" s="29"/>
      <c r="F82" s="29"/>
      <c r="G82" s="30"/>
      <c r="I82" s="26"/>
      <c r="J82" s="29"/>
      <c r="K82" s="29"/>
      <c r="L82" s="29"/>
      <c r="M82" s="29"/>
      <c r="N82" s="30"/>
      <c r="Q82" s="26"/>
      <c r="R82" s="29"/>
      <c r="S82" s="29"/>
      <c r="T82" s="29"/>
      <c r="U82" s="29"/>
      <c r="V82" s="30"/>
    </row>
    <row r="85" spans="2:22" x14ac:dyDescent="0.25">
      <c r="B85" s="712" t="s">
        <v>458</v>
      </c>
      <c r="C85" s="713"/>
      <c r="D85" s="713"/>
      <c r="E85" s="713"/>
      <c r="F85" s="713"/>
      <c r="G85" s="714"/>
      <c r="I85" s="712" t="s">
        <v>459</v>
      </c>
      <c r="J85" s="713"/>
      <c r="K85" s="713"/>
      <c r="L85" s="713"/>
      <c r="M85" s="713"/>
      <c r="N85" s="714"/>
      <c r="Q85" s="751" t="s">
        <v>460</v>
      </c>
      <c r="R85" s="752"/>
      <c r="S85" s="752"/>
      <c r="T85" s="752"/>
      <c r="U85" s="752"/>
      <c r="V85" s="753"/>
    </row>
    <row r="86" spans="2:22" x14ac:dyDescent="0.25">
      <c r="B86" s="31"/>
      <c r="C86" s="32"/>
      <c r="D86" s="32"/>
      <c r="E86" s="32"/>
      <c r="F86" s="32"/>
      <c r="G86" s="77"/>
      <c r="I86" s="31"/>
      <c r="J86" s="32"/>
      <c r="K86" s="32"/>
      <c r="L86" s="32"/>
      <c r="M86" s="32"/>
      <c r="N86" s="77"/>
      <c r="Q86" s="31"/>
      <c r="R86" s="32"/>
      <c r="S86" s="32"/>
      <c r="T86" s="32"/>
      <c r="U86" s="32"/>
      <c r="V86" s="77"/>
    </row>
    <row r="87" spans="2:22" x14ac:dyDescent="0.25">
      <c r="B87" s="10"/>
      <c r="C87" s="11"/>
      <c r="D87" s="11"/>
      <c r="E87" s="11"/>
      <c r="F87" s="11"/>
      <c r="G87" s="20"/>
      <c r="I87" s="10"/>
      <c r="J87" s="11"/>
      <c r="K87" s="11"/>
      <c r="L87" s="11"/>
      <c r="M87" s="11"/>
      <c r="N87" s="20"/>
      <c r="Q87" s="10"/>
      <c r="R87" s="11"/>
      <c r="S87" s="11"/>
      <c r="T87" s="11"/>
      <c r="U87" s="11"/>
      <c r="V87" s="20"/>
    </row>
    <row r="88" spans="2:22" x14ac:dyDescent="0.25">
      <c r="B88" s="10"/>
      <c r="C88" s="11"/>
      <c r="D88" s="11"/>
      <c r="E88" s="11"/>
      <c r="F88" s="11"/>
      <c r="G88" s="20"/>
      <c r="I88" s="10"/>
      <c r="J88" s="11"/>
      <c r="K88" s="11"/>
      <c r="L88" s="11"/>
      <c r="M88" s="11"/>
      <c r="N88" s="20"/>
      <c r="Q88" s="10"/>
      <c r="R88" s="11"/>
      <c r="S88" s="11"/>
      <c r="T88" s="11"/>
      <c r="U88" s="11"/>
      <c r="V88" s="20"/>
    </row>
    <row r="89" spans="2:22" x14ac:dyDescent="0.25">
      <c r="B89" s="10"/>
      <c r="C89" s="11"/>
      <c r="D89" s="11"/>
      <c r="E89" s="11"/>
      <c r="F89" s="11"/>
      <c r="G89" s="20"/>
      <c r="I89" s="10"/>
      <c r="J89" s="11"/>
      <c r="K89" s="11"/>
      <c r="L89" s="11"/>
      <c r="M89" s="11"/>
      <c r="N89" s="20"/>
      <c r="Q89" s="10"/>
      <c r="R89" s="11"/>
      <c r="S89" s="11"/>
      <c r="T89" s="11"/>
      <c r="U89" s="11"/>
      <c r="V89" s="20"/>
    </row>
    <row r="90" spans="2:22" x14ac:dyDescent="0.25">
      <c r="B90" s="10"/>
      <c r="C90" s="11"/>
      <c r="D90" s="11"/>
      <c r="E90" s="11"/>
      <c r="F90" s="11"/>
      <c r="G90" s="20"/>
      <c r="I90" s="10"/>
      <c r="J90" s="11"/>
      <c r="K90" s="11"/>
      <c r="L90" s="11"/>
      <c r="M90" s="11"/>
      <c r="N90" s="20"/>
      <c r="Q90" s="10"/>
      <c r="R90" s="11"/>
      <c r="S90" s="11"/>
      <c r="T90" s="11"/>
      <c r="U90" s="11"/>
      <c r="V90" s="20"/>
    </row>
    <row r="91" spans="2:22" x14ac:dyDescent="0.25">
      <c r="B91" s="10"/>
      <c r="C91" s="11"/>
      <c r="D91" s="11"/>
      <c r="E91" s="11"/>
      <c r="F91" s="11"/>
      <c r="G91" s="20"/>
      <c r="I91" s="10"/>
      <c r="J91" s="11"/>
      <c r="K91" s="11"/>
      <c r="L91" s="11"/>
      <c r="M91" s="11"/>
      <c r="N91" s="20"/>
      <c r="Q91" s="10"/>
      <c r="R91" s="11"/>
      <c r="S91" s="11"/>
      <c r="T91" s="11"/>
      <c r="U91" s="11"/>
      <c r="V91" s="20"/>
    </row>
    <row r="92" spans="2:22" x14ac:dyDescent="0.25">
      <c r="B92" s="10"/>
      <c r="C92" s="11"/>
      <c r="D92" s="11"/>
      <c r="E92" s="11"/>
      <c r="F92" s="11"/>
      <c r="G92" s="20"/>
      <c r="I92" s="10"/>
      <c r="J92" s="11"/>
      <c r="K92" s="11"/>
      <c r="L92" s="11"/>
      <c r="M92" s="11"/>
      <c r="N92" s="20"/>
      <c r="Q92" s="10"/>
      <c r="R92" s="11"/>
      <c r="S92" s="11"/>
      <c r="T92" s="11"/>
      <c r="U92" s="11"/>
      <c r="V92" s="20"/>
    </row>
    <row r="93" spans="2:22" x14ac:dyDescent="0.25">
      <c r="B93" s="10"/>
      <c r="C93" s="11"/>
      <c r="D93" s="11"/>
      <c r="E93" s="11"/>
      <c r="F93" s="11"/>
      <c r="G93" s="20"/>
      <c r="I93" s="10"/>
      <c r="J93" s="11"/>
      <c r="K93" s="11"/>
      <c r="L93" s="11"/>
      <c r="M93" s="11"/>
      <c r="N93" s="20"/>
      <c r="Q93" s="10"/>
      <c r="R93" s="11"/>
      <c r="S93" s="11"/>
      <c r="T93" s="11"/>
      <c r="U93" s="11"/>
      <c r="V93" s="20"/>
    </row>
    <row r="94" spans="2:22" x14ac:dyDescent="0.25">
      <c r="B94" s="10"/>
      <c r="C94" s="11"/>
      <c r="D94" s="11"/>
      <c r="E94" s="11"/>
      <c r="F94" s="11"/>
      <c r="G94" s="20"/>
      <c r="I94" s="10"/>
      <c r="J94" s="11"/>
      <c r="K94" s="11"/>
      <c r="L94" s="11"/>
      <c r="M94" s="11"/>
      <c r="N94" s="20"/>
      <c r="Q94" s="10"/>
      <c r="R94" s="11"/>
      <c r="S94" s="11"/>
      <c r="T94" s="11"/>
      <c r="U94" s="11"/>
      <c r="V94" s="20"/>
    </row>
    <row r="95" spans="2:22" x14ac:dyDescent="0.25">
      <c r="B95" s="10"/>
      <c r="C95" s="11"/>
      <c r="D95" s="11"/>
      <c r="E95" s="11"/>
      <c r="F95" s="11"/>
      <c r="G95" s="20"/>
      <c r="I95" s="10"/>
      <c r="J95" s="11"/>
      <c r="K95" s="11"/>
      <c r="L95" s="11"/>
      <c r="M95" s="11"/>
      <c r="N95" s="20"/>
      <c r="Q95" s="10"/>
      <c r="R95" s="11"/>
      <c r="S95" s="11"/>
      <c r="T95" s="11"/>
      <c r="U95" s="11"/>
      <c r="V95" s="20"/>
    </row>
    <row r="96" spans="2:22" x14ac:dyDescent="0.25">
      <c r="B96" s="10"/>
      <c r="C96" s="11"/>
      <c r="D96" s="11"/>
      <c r="E96" s="11"/>
      <c r="F96" s="11"/>
      <c r="G96" s="20"/>
      <c r="I96" s="10"/>
      <c r="J96" s="11"/>
      <c r="K96" s="11"/>
      <c r="L96" s="11"/>
      <c r="M96" s="11"/>
      <c r="N96" s="20"/>
      <c r="Q96" s="10"/>
      <c r="R96" s="11"/>
      <c r="S96" s="11"/>
      <c r="T96" s="11"/>
      <c r="U96" s="11"/>
      <c r="V96" s="20"/>
    </row>
    <row r="97" spans="2:22" x14ac:dyDescent="0.25">
      <c r="B97" s="10"/>
      <c r="C97" s="11"/>
      <c r="D97" s="11"/>
      <c r="E97" s="11"/>
      <c r="F97" s="11"/>
      <c r="G97" s="20"/>
      <c r="I97" s="10"/>
      <c r="J97" s="11"/>
      <c r="K97" s="11"/>
      <c r="L97" s="11"/>
      <c r="M97" s="11"/>
      <c r="N97" s="20"/>
      <c r="Q97" s="10"/>
      <c r="R97" s="11"/>
      <c r="S97" s="11"/>
      <c r="T97" s="11"/>
      <c r="U97" s="11"/>
      <c r="V97" s="20"/>
    </row>
    <row r="98" spans="2:22" x14ac:dyDescent="0.25">
      <c r="B98" s="10"/>
      <c r="C98" s="11"/>
      <c r="D98" s="11"/>
      <c r="E98" s="11"/>
      <c r="F98" s="11"/>
      <c r="G98" s="20"/>
      <c r="I98" s="10"/>
      <c r="J98" s="11"/>
      <c r="K98" s="11"/>
      <c r="L98" s="11"/>
      <c r="M98" s="11"/>
      <c r="N98" s="20"/>
      <c r="Q98" s="10"/>
      <c r="R98" s="11"/>
      <c r="S98" s="11"/>
      <c r="T98" s="11"/>
      <c r="U98" s="11"/>
      <c r="V98" s="20"/>
    </row>
    <row r="99" spans="2:22" x14ac:dyDescent="0.25">
      <c r="B99" s="10"/>
      <c r="C99" s="11"/>
      <c r="D99" s="11"/>
      <c r="E99" s="11"/>
      <c r="F99" s="11"/>
      <c r="G99" s="20"/>
      <c r="I99" s="10"/>
      <c r="J99" s="11"/>
      <c r="K99" s="11"/>
      <c r="L99" s="11"/>
      <c r="M99" s="11"/>
      <c r="N99" s="20"/>
      <c r="Q99" s="10"/>
      <c r="R99" s="11"/>
      <c r="S99" s="11"/>
      <c r="T99" s="11"/>
      <c r="U99" s="11"/>
      <c r="V99" s="20"/>
    </row>
    <row r="100" spans="2:22" x14ac:dyDescent="0.25">
      <c r="B100" s="10"/>
      <c r="C100" s="11"/>
      <c r="D100" s="11"/>
      <c r="E100" s="11"/>
      <c r="F100" s="11"/>
      <c r="G100" s="20"/>
      <c r="I100" s="10"/>
      <c r="J100" s="11"/>
      <c r="K100" s="11"/>
      <c r="L100" s="11"/>
      <c r="M100" s="11"/>
      <c r="N100" s="20"/>
      <c r="Q100" s="10"/>
      <c r="R100" s="11"/>
      <c r="S100" s="11"/>
      <c r="T100" s="11"/>
      <c r="U100" s="11"/>
      <c r="V100" s="20"/>
    </row>
    <row r="101" spans="2:22" x14ac:dyDescent="0.25">
      <c r="B101" s="10"/>
      <c r="C101" s="11"/>
      <c r="D101" s="11"/>
      <c r="E101" s="11"/>
      <c r="F101" s="11"/>
      <c r="G101" s="20"/>
      <c r="I101" s="10"/>
      <c r="J101" s="11"/>
      <c r="K101" s="11"/>
      <c r="L101" s="11"/>
      <c r="M101" s="11"/>
      <c r="N101" s="20"/>
      <c r="Q101" s="10"/>
      <c r="R101" s="11"/>
      <c r="S101" s="11"/>
      <c r="T101" s="11"/>
      <c r="U101" s="11"/>
      <c r="V101" s="20"/>
    </row>
    <row r="102" spans="2:22" x14ac:dyDescent="0.25">
      <c r="B102" s="10"/>
      <c r="C102" s="436" t="s">
        <v>409</v>
      </c>
      <c r="D102" s="754">
        <f ca="1">'Customer Calc'!G217*-1</f>
        <v>403787523.79084462</v>
      </c>
      <c r="E102" s="755"/>
      <c r="F102" s="11"/>
      <c r="G102" s="20"/>
      <c r="I102" s="10"/>
      <c r="J102" s="436" t="s">
        <v>409</v>
      </c>
      <c r="K102" s="754">
        <f ca="1">'Customer Calc'!AM221*-1</f>
        <v>2984138240.7499542</v>
      </c>
      <c r="L102" s="755"/>
      <c r="M102" s="11"/>
      <c r="N102" s="20"/>
      <c r="Q102" s="10"/>
      <c r="R102" s="456" t="s">
        <v>409</v>
      </c>
      <c r="S102" s="754">
        <f ca="1">'Customer Calc'!BR39*-1</f>
        <v>3387925764.5407987</v>
      </c>
      <c r="T102" s="755"/>
      <c r="U102" s="11"/>
      <c r="V102" s="20"/>
    </row>
    <row r="103" spans="2:22" x14ac:dyDescent="0.25">
      <c r="B103" s="10"/>
      <c r="C103" s="11"/>
      <c r="D103" s="11"/>
      <c r="E103" s="11"/>
      <c r="F103" s="11"/>
      <c r="G103" s="20"/>
      <c r="I103" s="10"/>
      <c r="J103" s="11"/>
      <c r="K103" s="11"/>
      <c r="L103" s="11"/>
      <c r="M103" s="11"/>
      <c r="N103" s="20"/>
      <c r="Q103" s="10"/>
      <c r="R103" s="11"/>
      <c r="S103" s="11"/>
      <c r="T103" s="11"/>
      <c r="U103" s="11"/>
      <c r="V103" s="20"/>
    </row>
    <row r="104" spans="2:22" x14ac:dyDescent="0.25">
      <c r="B104" s="10"/>
      <c r="C104" s="11"/>
      <c r="D104" s="11"/>
      <c r="E104" s="11"/>
      <c r="F104" s="11"/>
      <c r="G104" s="20"/>
      <c r="I104" s="10"/>
      <c r="J104" s="11"/>
      <c r="K104" s="11"/>
      <c r="L104" s="11"/>
      <c r="M104" s="11"/>
      <c r="N104" s="20"/>
      <c r="Q104" s="10"/>
      <c r="R104" s="11"/>
      <c r="S104" s="11"/>
      <c r="T104" s="11"/>
      <c r="U104" s="11"/>
      <c r="V104" s="20"/>
    </row>
    <row r="105" spans="2:22" x14ac:dyDescent="0.25">
      <c r="B105" s="10"/>
      <c r="C105" s="11"/>
      <c r="D105" s="11"/>
      <c r="E105" s="11"/>
      <c r="F105" s="11"/>
      <c r="G105" s="20"/>
      <c r="I105" s="10"/>
      <c r="J105" s="11"/>
      <c r="K105" s="11"/>
      <c r="L105" s="11"/>
      <c r="M105" s="11"/>
      <c r="N105" s="20"/>
      <c r="Q105" s="10"/>
      <c r="R105" s="11"/>
      <c r="S105" s="11"/>
      <c r="T105" s="11"/>
      <c r="U105" s="11"/>
      <c r="V105" s="20"/>
    </row>
    <row r="106" spans="2:22" x14ac:dyDescent="0.25">
      <c r="B106" s="10"/>
      <c r="C106" s="11"/>
      <c r="D106" s="11"/>
      <c r="E106" s="11"/>
      <c r="F106" s="11"/>
      <c r="G106" s="20"/>
      <c r="I106" s="10"/>
      <c r="J106" s="11"/>
      <c r="K106" s="11"/>
      <c r="L106" s="11"/>
      <c r="M106" s="11"/>
      <c r="N106" s="20"/>
      <c r="Q106" s="10"/>
      <c r="R106" s="11"/>
      <c r="S106" s="11"/>
      <c r="T106" s="11"/>
      <c r="U106" s="11"/>
      <c r="V106" s="20"/>
    </row>
    <row r="107" spans="2:22" x14ac:dyDescent="0.25">
      <c r="B107" s="10"/>
      <c r="C107" s="11"/>
      <c r="D107" s="11"/>
      <c r="E107" s="11"/>
      <c r="F107" s="11"/>
      <c r="G107" s="20"/>
      <c r="I107" s="10"/>
      <c r="J107" s="11"/>
      <c r="K107" s="11"/>
      <c r="L107" s="11"/>
      <c r="M107" s="11"/>
      <c r="N107" s="20"/>
      <c r="Q107" s="10"/>
      <c r="R107" s="11"/>
      <c r="S107" s="11"/>
      <c r="T107" s="11"/>
      <c r="U107" s="11"/>
      <c r="V107" s="20"/>
    </row>
    <row r="108" spans="2:22" x14ac:dyDescent="0.25">
      <c r="B108" s="10"/>
      <c r="C108" s="11"/>
      <c r="D108" s="11"/>
      <c r="E108" s="11"/>
      <c r="F108" s="11"/>
      <c r="G108" s="20"/>
      <c r="I108" s="10"/>
      <c r="J108" s="11"/>
      <c r="K108" s="11"/>
      <c r="L108" s="11"/>
      <c r="M108" s="11"/>
      <c r="N108" s="20"/>
      <c r="Q108" s="10"/>
      <c r="R108" s="11"/>
      <c r="S108" s="11"/>
      <c r="T108" s="11"/>
      <c r="U108" s="11"/>
      <c r="V108" s="20"/>
    </row>
    <row r="109" spans="2:22" x14ac:dyDescent="0.25">
      <c r="B109" s="10"/>
      <c r="C109" s="11"/>
      <c r="D109" s="11"/>
      <c r="E109" s="11"/>
      <c r="F109" s="11"/>
      <c r="G109" s="20"/>
      <c r="I109" s="10"/>
      <c r="J109" s="11"/>
      <c r="K109" s="11"/>
      <c r="L109" s="11"/>
      <c r="M109" s="11"/>
      <c r="N109" s="20"/>
      <c r="Q109" s="10"/>
      <c r="R109" s="11"/>
      <c r="S109" s="11"/>
      <c r="T109" s="11"/>
      <c r="U109" s="11"/>
      <c r="V109" s="20"/>
    </row>
    <row r="110" spans="2:22" x14ac:dyDescent="0.25">
      <c r="B110" s="10"/>
      <c r="C110" s="11"/>
      <c r="D110" s="11"/>
      <c r="E110" s="11"/>
      <c r="F110" s="11"/>
      <c r="G110" s="20"/>
      <c r="I110" s="10"/>
      <c r="J110" s="11"/>
      <c r="K110" s="11"/>
      <c r="L110" s="11"/>
      <c r="M110" s="11"/>
      <c r="N110" s="20"/>
      <c r="Q110" s="10"/>
      <c r="R110" s="11"/>
      <c r="S110" s="11"/>
      <c r="T110" s="11"/>
      <c r="U110" s="11"/>
      <c r="V110" s="20"/>
    </row>
    <row r="111" spans="2:22" x14ac:dyDescent="0.25">
      <c r="B111" s="10"/>
      <c r="C111" s="11"/>
      <c r="D111" s="11"/>
      <c r="E111" s="11"/>
      <c r="F111" s="11"/>
      <c r="G111" s="20"/>
      <c r="I111" s="10"/>
      <c r="J111" s="11"/>
      <c r="K111" s="11"/>
      <c r="L111" s="11"/>
      <c r="M111" s="11"/>
      <c r="N111" s="20"/>
      <c r="Q111" s="10"/>
      <c r="R111" s="11"/>
      <c r="S111" s="11"/>
      <c r="T111" s="11"/>
      <c r="U111" s="11"/>
      <c r="V111" s="20"/>
    </row>
    <row r="112" spans="2:22" x14ac:dyDescent="0.25">
      <c r="B112" s="10"/>
      <c r="C112" s="11"/>
      <c r="D112" s="11"/>
      <c r="E112" s="11"/>
      <c r="F112" s="11"/>
      <c r="G112" s="20"/>
      <c r="I112" s="10"/>
      <c r="J112" s="11"/>
      <c r="K112" s="11"/>
      <c r="L112" s="11"/>
      <c r="M112" s="11"/>
      <c r="N112" s="20"/>
      <c r="Q112" s="10"/>
      <c r="R112" s="11"/>
      <c r="S112" s="11"/>
      <c r="T112" s="11"/>
      <c r="U112" s="11"/>
      <c r="V112" s="20"/>
    </row>
    <row r="113" spans="2:22" x14ac:dyDescent="0.25">
      <c r="B113" s="10"/>
      <c r="C113" s="11"/>
      <c r="D113" s="11"/>
      <c r="E113" s="11"/>
      <c r="F113" s="11"/>
      <c r="G113" s="20"/>
      <c r="I113" s="10"/>
      <c r="J113" s="11"/>
      <c r="K113" s="11"/>
      <c r="L113" s="11"/>
      <c r="M113" s="11"/>
      <c r="N113" s="20"/>
      <c r="Q113" s="10"/>
      <c r="R113" s="11"/>
      <c r="S113" s="11"/>
      <c r="T113" s="11"/>
      <c r="U113" s="11"/>
      <c r="V113" s="20"/>
    </row>
    <row r="114" spans="2:22" x14ac:dyDescent="0.25">
      <c r="B114" s="10"/>
      <c r="C114" s="11"/>
      <c r="D114" s="11"/>
      <c r="E114" s="11"/>
      <c r="F114" s="11"/>
      <c r="G114" s="20"/>
      <c r="I114" s="10"/>
      <c r="J114" s="11"/>
      <c r="K114" s="11"/>
      <c r="L114" s="11"/>
      <c r="M114" s="11"/>
      <c r="N114" s="20"/>
      <c r="Q114" s="10"/>
      <c r="R114" s="11"/>
      <c r="S114" s="11"/>
      <c r="T114" s="11"/>
      <c r="U114" s="11"/>
      <c r="V114" s="20"/>
    </row>
    <row r="115" spans="2:22" x14ac:dyDescent="0.25">
      <c r="B115" s="10"/>
      <c r="C115" s="11"/>
      <c r="D115" s="11"/>
      <c r="E115" s="11"/>
      <c r="F115" s="11"/>
      <c r="G115" s="20"/>
      <c r="I115" s="10"/>
      <c r="J115" s="11"/>
      <c r="K115" s="11"/>
      <c r="L115" s="11"/>
      <c r="M115" s="11"/>
      <c r="N115" s="20"/>
      <c r="Q115" s="10"/>
      <c r="R115" s="11"/>
      <c r="S115" s="11"/>
      <c r="T115" s="11"/>
      <c r="U115" s="11"/>
      <c r="V115" s="20"/>
    </row>
    <row r="116" spans="2:22" x14ac:dyDescent="0.25">
      <c r="B116" s="10"/>
      <c r="C116" s="11"/>
      <c r="D116" s="11"/>
      <c r="E116" s="11"/>
      <c r="F116" s="11"/>
      <c r="G116" s="20"/>
      <c r="I116" s="10"/>
      <c r="J116" s="11"/>
      <c r="K116" s="11"/>
      <c r="L116" s="11"/>
      <c r="M116" s="11"/>
      <c r="N116" s="20"/>
      <c r="Q116" s="10"/>
      <c r="R116" s="11"/>
      <c r="S116" s="11"/>
      <c r="T116" s="11"/>
      <c r="U116" s="11"/>
      <c r="V116" s="20"/>
    </row>
    <row r="117" spans="2:22" x14ac:dyDescent="0.25">
      <c r="B117" s="10"/>
      <c r="C117" s="11"/>
      <c r="D117" s="11"/>
      <c r="E117" s="11"/>
      <c r="F117" s="11"/>
      <c r="G117" s="20"/>
      <c r="I117" s="10"/>
      <c r="J117" s="11"/>
      <c r="K117" s="11"/>
      <c r="L117" s="11"/>
      <c r="M117" s="11"/>
      <c r="N117" s="20"/>
      <c r="Q117" s="10"/>
      <c r="R117" s="11"/>
      <c r="S117" s="11"/>
      <c r="T117" s="11"/>
      <c r="U117" s="11"/>
      <c r="V117" s="20"/>
    </row>
    <row r="118" spans="2:22" x14ac:dyDescent="0.25">
      <c r="B118" s="10"/>
      <c r="C118" s="11"/>
      <c r="D118" s="11"/>
      <c r="E118" s="11"/>
      <c r="F118" s="11"/>
      <c r="G118" s="20"/>
      <c r="I118" s="10"/>
      <c r="J118" s="11"/>
      <c r="K118" s="11"/>
      <c r="L118" s="11"/>
      <c r="M118" s="11"/>
      <c r="N118" s="20"/>
      <c r="Q118" s="10"/>
      <c r="R118" s="11"/>
      <c r="S118" s="11"/>
      <c r="T118" s="11"/>
      <c r="U118" s="11"/>
      <c r="V118" s="20"/>
    </row>
    <row r="119" spans="2:22" x14ac:dyDescent="0.25">
      <c r="B119" s="10"/>
      <c r="C119" s="11"/>
      <c r="D119" s="11"/>
      <c r="E119" s="11"/>
      <c r="F119" s="11"/>
      <c r="G119" s="20"/>
      <c r="I119" s="10"/>
      <c r="J119" s="11"/>
      <c r="K119" s="11"/>
      <c r="L119" s="11"/>
      <c r="M119" s="11"/>
      <c r="N119" s="20"/>
      <c r="Q119" s="10"/>
      <c r="R119" s="11"/>
      <c r="S119" s="11"/>
      <c r="T119" s="11"/>
      <c r="U119" s="11"/>
      <c r="V119" s="20"/>
    </row>
    <row r="120" spans="2:22" x14ac:dyDescent="0.25">
      <c r="B120" s="10"/>
      <c r="C120" s="11"/>
      <c r="D120" s="11"/>
      <c r="E120" s="11"/>
      <c r="F120" s="11"/>
      <c r="G120" s="20"/>
      <c r="I120" s="10"/>
      <c r="J120" s="11"/>
      <c r="K120" s="11"/>
      <c r="L120" s="11"/>
      <c r="M120" s="11"/>
      <c r="N120" s="20"/>
      <c r="Q120" s="10"/>
      <c r="R120" s="11"/>
      <c r="S120" s="11"/>
      <c r="T120" s="11"/>
      <c r="U120" s="11"/>
      <c r="V120" s="20"/>
    </row>
    <row r="121" spans="2:22" x14ac:dyDescent="0.25">
      <c r="B121" s="10"/>
      <c r="C121" s="11"/>
      <c r="D121" s="11"/>
      <c r="E121" s="11"/>
      <c r="F121" s="11"/>
      <c r="G121" s="20"/>
      <c r="I121" s="10"/>
      <c r="J121" s="11"/>
      <c r="K121" s="11"/>
      <c r="L121" s="11"/>
      <c r="M121" s="11"/>
      <c r="N121" s="20"/>
      <c r="Q121" s="10"/>
      <c r="R121" s="11"/>
      <c r="S121" s="11"/>
      <c r="T121" s="11"/>
      <c r="U121" s="11"/>
      <c r="V121" s="20"/>
    </row>
    <row r="122" spans="2:22" x14ac:dyDescent="0.25">
      <c r="B122" s="10"/>
      <c r="C122" s="11"/>
      <c r="D122" s="11"/>
      <c r="E122" s="11"/>
      <c r="F122" s="11"/>
      <c r="G122" s="20"/>
      <c r="I122" s="10"/>
      <c r="J122" s="11"/>
      <c r="K122" s="11"/>
      <c r="L122" s="11"/>
      <c r="M122" s="11"/>
      <c r="N122" s="20"/>
      <c r="Q122" s="10"/>
      <c r="R122" s="11"/>
      <c r="S122" s="11"/>
      <c r="T122" s="11"/>
      <c r="U122" s="11"/>
      <c r="V122" s="20"/>
    </row>
    <row r="123" spans="2:22" x14ac:dyDescent="0.25">
      <c r="B123" s="10"/>
      <c r="C123" s="11"/>
      <c r="D123" s="11"/>
      <c r="E123" s="11"/>
      <c r="F123" s="11"/>
      <c r="G123" s="20"/>
      <c r="I123" s="10"/>
      <c r="J123" s="11"/>
      <c r="K123" s="11"/>
      <c r="L123" s="11"/>
      <c r="M123" s="11"/>
      <c r="N123" s="20"/>
      <c r="Q123" s="10"/>
      <c r="R123" s="11"/>
      <c r="S123" s="11"/>
      <c r="T123" s="11"/>
      <c r="U123" s="11"/>
      <c r="V123" s="20"/>
    </row>
    <row r="124" spans="2:22" x14ac:dyDescent="0.25">
      <c r="B124" s="10"/>
      <c r="C124" s="11"/>
      <c r="D124" s="11"/>
      <c r="E124" s="11"/>
      <c r="F124" s="11"/>
      <c r="G124" s="20"/>
      <c r="I124" s="10"/>
      <c r="J124" s="11"/>
      <c r="K124" s="11"/>
      <c r="L124" s="11"/>
      <c r="M124" s="11"/>
      <c r="N124" s="20"/>
      <c r="Q124" s="10"/>
      <c r="R124" s="11"/>
      <c r="S124" s="11"/>
      <c r="T124" s="11"/>
      <c r="U124" s="11"/>
      <c r="V124" s="20"/>
    </row>
    <row r="125" spans="2:22" x14ac:dyDescent="0.25">
      <c r="B125" s="10"/>
      <c r="C125" s="11"/>
      <c r="D125" s="11"/>
      <c r="E125" s="11"/>
      <c r="F125" s="11"/>
      <c r="G125" s="20"/>
      <c r="I125" s="10"/>
      <c r="J125" s="11"/>
      <c r="K125" s="11"/>
      <c r="L125" s="11"/>
      <c r="M125" s="11"/>
      <c r="N125" s="20"/>
      <c r="Q125" s="10"/>
      <c r="R125" s="11"/>
      <c r="S125" s="11"/>
      <c r="T125" s="11"/>
      <c r="U125" s="11"/>
      <c r="V125" s="20"/>
    </row>
    <row r="126" spans="2:22" x14ac:dyDescent="0.25">
      <c r="B126" s="10"/>
      <c r="C126" s="11"/>
      <c r="D126" s="11"/>
      <c r="E126" s="11"/>
      <c r="F126" s="11"/>
      <c r="G126" s="20"/>
      <c r="I126" s="10"/>
      <c r="J126" s="11"/>
      <c r="K126" s="11"/>
      <c r="L126" s="11"/>
      <c r="M126" s="11"/>
      <c r="N126" s="20"/>
      <c r="Q126" s="10"/>
      <c r="R126" s="11"/>
      <c r="S126" s="11"/>
      <c r="T126" s="11"/>
      <c r="U126" s="11"/>
      <c r="V126" s="20"/>
    </row>
    <row r="127" spans="2:22" x14ac:dyDescent="0.25">
      <c r="B127" s="10"/>
      <c r="C127" s="11"/>
      <c r="D127" s="11"/>
      <c r="E127" s="11"/>
      <c r="F127" s="11"/>
      <c r="G127" s="20"/>
      <c r="I127" s="10"/>
      <c r="J127" s="11"/>
      <c r="K127" s="11"/>
      <c r="L127" s="11"/>
      <c r="M127" s="11"/>
      <c r="N127" s="20"/>
      <c r="Q127" s="10"/>
      <c r="R127" s="11"/>
      <c r="S127" s="11"/>
      <c r="T127" s="11"/>
      <c r="U127" s="11"/>
      <c r="V127" s="20"/>
    </row>
    <row r="128" spans="2:22" x14ac:dyDescent="0.25">
      <c r="B128" s="10"/>
      <c r="C128" s="11"/>
      <c r="D128" s="11"/>
      <c r="E128" s="11"/>
      <c r="F128" s="11"/>
      <c r="G128" s="20"/>
      <c r="I128" s="10"/>
      <c r="J128" s="11"/>
      <c r="K128" s="11"/>
      <c r="L128" s="11"/>
      <c r="M128" s="11"/>
      <c r="N128" s="20"/>
      <c r="Q128" s="10"/>
      <c r="R128" s="11"/>
      <c r="S128" s="11"/>
      <c r="T128" s="11"/>
      <c r="U128" s="11"/>
      <c r="V128" s="20"/>
    </row>
    <row r="129" spans="2:22" x14ac:dyDescent="0.25">
      <c r="B129" s="10"/>
      <c r="C129" s="11"/>
      <c r="D129" s="11"/>
      <c r="E129" s="11"/>
      <c r="F129" s="11"/>
      <c r="G129" s="20"/>
      <c r="I129" s="10"/>
      <c r="J129" s="11"/>
      <c r="K129" s="11"/>
      <c r="L129" s="11"/>
      <c r="M129" s="11"/>
      <c r="N129" s="20"/>
      <c r="Q129" s="10"/>
      <c r="R129" s="11"/>
      <c r="S129" s="11"/>
      <c r="T129" s="11"/>
      <c r="U129" s="11"/>
      <c r="V129" s="20"/>
    </row>
    <row r="130" spans="2:22" x14ac:dyDescent="0.25">
      <c r="B130" s="10"/>
      <c r="C130" s="11"/>
      <c r="D130" s="11"/>
      <c r="E130" s="11"/>
      <c r="F130" s="11"/>
      <c r="G130" s="20"/>
      <c r="I130" s="10"/>
      <c r="J130" s="11"/>
      <c r="K130" s="11"/>
      <c r="L130" s="11"/>
      <c r="M130" s="11"/>
      <c r="N130" s="20"/>
      <c r="Q130" s="10"/>
      <c r="R130" s="11"/>
      <c r="S130" s="11"/>
      <c r="T130" s="11"/>
      <c r="U130" s="11"/>
      <c r="V130" s="20"/>
    </row>
    <row r="131" spans="2:22" x14ac:dyDescent="0.25">
      <c r="B131" s="10"/>
      <c r="C131" s="11"/>
      <c r="D131" s="11"/>
      <c r="E131" s="11"/>
      <c r="F131" s="11"/>
      <c r="G131" s="20"/>
      <c r="I131" s="10"/>
      <c r="J131" s="11"/>
      <c r="K131" s="11"/>
      <c r="L131" s="11"/>
      <c r="M131" s="11"/>
      <c r="N131" s="20"/>
      <c r="Q131" s="10"/>
      <c r="R131" s="11"/>
      <c r="S131" s="11"/>
      <c r="T131" s="11"/>
      <c r="U131" s="11"/>
      <c r="V131" s="20"/>
    </row>
    <row r="132" spans="2:22" x14ac:dyDescent="0.25">
      <c r="B132" s="10"/>
      <c r="C132" s="11"/>
      <c r="D132" s="11"/>
      <c r="E132" s="11"/>
      <c r="F132" s="11"/>
      <c r="G132" s="20"/>
      <c r="I132" s="10"/>
      <c r="J132" s="11"/>
      <c r="K132" s="11"/>
      <c r="L132" s="11"/>
      <c r="M132" s="11"/>
      <c r="N132" s="20"/>
      <c r="Q132" s="10"/>
      <c r="R132" s="11"/>
      <c r="S132" s="11"/>
      <c r="T132" s="11"/>
      <c r="U132" s="11"/>
      <c r="V132" s="20"/>
    </row>
    <row r="133" spans="2:22" x14ac:dyDescent="0.25">
      <c r="B133" s="10"/>
      <c r="C133" s="11"/>
      <c r="D133" s="11"/>
      <c r="E133" s="11"/>
      <c r="F133" s="11"/>
      <c r="G133" s="20"/>
      <c r="H133" s="58"/>
      <c r="I133" s="10"/>
      <c r="J133" s="11"/>
      <c r="K133" s="11"/>
      <c r="L133" s="11"/>
      <c r="M133" s="11"/>
      <c r="N133" s="20"/>
      <c r="Q133" s="10"/>
      <c r="R133" s="11"/>
      <c r="S133" s="11"/>
      <c r="T133" s="11"/>
      <c r="U133" s="11"/>
      <c r="V133" s="20"/>
    </row>
    <row r="134" spans="2:22" x14ac:dyDescent="0.25">
      <c r="B134" s="10"/>
      <c r="C134" s="11"/>
      <c r="D134" s="11"/>
      <c r="E134" s="11"/>
      <c r="F134" s="11"/>
      <c r="G134" s="20"/>
      <c r="H134" s="58"/>
      <c r="I134" s="10"/>
      <c r="J134" s="11"/>
      <c r="K134" s="11"/>
      <c r="L134" s="11"/>
      <c r="M134" s="11"/>
      <c r="N134" s="20"/>
      <c r="Q134" s="10"/>
      <c r="R134" s="11"/>
      <c r="S134" s="11"/>
      <c r="T134" s="11"/>
      <c r="U134" s="11"/>
      <c r="V134" s="20"/>
    </row>
    <row r="135" spans="2:22" x14ac:dyDescent="0.25">
      <c r="B135" s="26"/>
      <c r="C135" s="29"/>
      <c r="D135" s="29"/>
      <c r="E135" s="29"/>
      <c r="F135" s="29"/>
      <c r="G135" s="30"/>
      <c r="I135" s="26"/>
      <c r="J135" s="29"/>
      <c r="K135" s="29"/>
      <c r="L135" s="29"/>
      <c r="M135" s="29"/>
      <c r="N135" s="30"/>
      <c r="Q135" s="26"/>
      <c r="R135" s="29"/>
      <c r="S135" s="29"/>
      <c r="T135" s="29"/>
      <c r="U135" s="29"/>
      <c r="V135" s="30"/>
    </row>
  </sheetData>
  <mergeCells count="9">
    <mergeCell ref="Q2:V2"/>
    <mergeCell ref="Q85:V85"/>
    <mergeCell ref="S102:T102"/>
    <mergeCell ref="B2:G2"/>
    <mergeCell ref="B85:G85"/>
    <mergeCell ref="I2:N2"/>
    <mergeCell ref="I85:N85"/>
    <mergeCell ref="D102:E102"/>
    <mergeCell ref="K102:L102"/>
  </mergeCells>
  <pageMargins left="0.75" right="0.75" top="1" bottom="1" header="0.5" footer="0.5"/>
  <pageSetup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2:AH89"/>
  <sheetViews>
    <sheetView workbookViewId="0"/>
  </sheetViews>
  <sheetFormatPr defaultColWidth="8.875" defaultRowHeight="15.75" outlineLevelRow="2" x14ac:dyDescent="0.25"/>
  <cols>
    <col min="1" max="1" width="2.5" customWidth="1"/>
    <col min="2" max="3" width="1.875" customWidth="1"/>
    <col min="4" max="4" width="42.625" customWidth="1"/>
    <col min="5" max="5" width="9.625" customWidth="1"/>
    <col min="6" max="6" width="15.375" customWidth="1"/>
    <col min="7" max="7" width="2.5" style="151" customWidth="1"/>
    <col min="8" max="8" width="8.125" customWidth="1"/>
    <col min="9" max="9" width="9.375" bestFit="1" customWidth="1"/>
    <col min="10" max="11" width="8" bestFit="1" customWidth="1"/>
    <col min="12" max="16" width="12" bestFit="1" customWidth="1"/>
    <col min="17" max="20" width="8" bestFit="1" customWidth="1"/>
    <col min="21" max="23" width="10.875" bestFit="1" customWidth="1"/>
    <col min="24" max="26" width="11.875" bestFit="1" customWidth="1"/>
    <col min="27" max="29" width="10.625" bestFit="1" customWidth="1"/>
    <col min="30" max="32" width="11.625" bestFit="1" customWidth="1"/>
    <col min="33" max="33" width="8" bestFit="1" customWidth="1"/>
    <col min="34" max="34" width="6.875" customWidth="1"/>
  </cols>
  <sheetData>
    <row r="2" spans="2:33" x14ac:dyDescent="0.25">
      <c r="B2" s="762" t="s">
        <v>440</v>
      </c>
      <c r="C2" s="763"/>
      <c r="D2" s="763"/>
      <c r="E2" s="763"/>
      <c r="F2" s="764"/>
      <c r="G2" s="183"/>
    </row>
    <row r="3" spans="2:33" x14ac:dyDescent="0.25">
      <c r="B3" s="715" t="s">
        <v>439</v>
      </c>
      <c r="C3" s="716"/>
      <c r="D3" s="716"/>
      <c r="E3" s="716"/>
      <c r="F3" s="717"/>
      <c r="G3" s="182"/>
    </row>
    <row r="4" spans="2:33" x14ac:dyDescent="0.25">
      <c r="B4" s="708" t="s">
        <v>3</v>
      </c>
      <c r="C4" s="709"/>
      <c r="D4" s="709"/>
      <c r="E4" s="141" t="s">
        <v>5</v>
      </c>
      <c r="F4" s="140" t="s">
        <v>4</v>
      </c>
      <c r="G4" s="184"/>
    </row>
    <row r="5" spans="2:33" x14ac:dyDescent="0.25">
      <c r="B5" s="18" t="s">
        <v>118</v>
      </c>
      <c r="C5" s="19"/>
      <c r="D5" s="19"/>
      <c r="E5" s="11"/>
      <c r="F5" s="20"/>
      <c r="G5" s="152"/>
    </row>
    <row r="6" spans="2:33" x14ac:dyDescent="0.25">
      <c r="B6" s="10"/>
      <c r="C6" s="11" t="s">
        <v>138</v>
      </c>
      <c r="D6" s="11"/>
      <c r="E6" s="162">
        <v>19475</v>
      </c>
      <c r="F6" s="59" t="s">
        <v>116</v>
      </c>
      <c r="G6" s="183"/>
    </row>
    <row r="7" spans="2:33" x14ac:dyDescent="0.25">
      <c r="B7" s="8"/>
      <c r="C7" s="19" t="s">
        <v>137</v>
      </c>
      <c r="D7" s="19"/>
      <c r="E7" s="162">
        <v>1315</v>
      </c>
      <c r="F7" s="59" t="s">
        <v>19</v>
      </c>
      <c r="G7" s="183"/>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row>
    <row r="8" spans="2:33" x14ac:dyDescent="0.25">
      <c r="B8" s="8"/>
      <c r="C8" s="11" t="s">
        <v>136</v>
      </c>
      <c r="D8" s="11"/>
      <c r="E8" s="134">
        <v>6.5000000000000002E-2</v>
      </c>
      <c r="F8" s="59" t="s">
        <v>7</v>
      </c>
      <c r="G8" s="183"/>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row>
    <row r="9" spans="2:33" x14ac:dyDescent="0.25">
      <c r="B9" s="10"/>
      <c r="C9" s="11"/>
      <c r="D9" s="11"/>
      <c r="E9" s="11"/>
      <c r="F9" s="59"/>
      <c r="G9" s="183"/>
      <c r="H9" s="151"/>
      <c r="I9" s="151"/>
      <c r="J9" s="151"/>
      <c r="K9" s="151"/>
      <c r="L9" s="151"/>
    </row>
    <row r="10" spans="2:33" x14ac:dyDescent="0.25">
      <c r="B10" s="23" t="s">
        <v>135</v>
      </c>
      <c r="C10" s="24"/>
      <c r="D10" s="25"/>
      <c r="E10" s="136"/>
      <c r="F10" s="147"/>
      <c r="G10" s="184"/>
      <c r="H10" s="151"/>
      <c r="I10" s="151"/>
      <c r="J10" s="151"/>
      <c r="K10" s="151"/>
      <c r="L10" s="151"/>
    </row>
    <row r="11" spans="2:33" x14ac:dyDescent="0.25">
      <c r="B11" s="10"/>
      <c r="C11" s="11" t="s">
        <v>530</v>
      </c>
      <c r="D11" s="11"/>
      <c r="E11" s="660">
        <v>54.51</v>
      </c>
      <c r="F11" s="59" t="s">
        <v>410</v>
      </c>
      <c r="G11" s="183"/>
      <c r="H11" s="151"/>
      <c r="I11" s="443"/>
      <c r="J11" s="443"/>
      <c r="K11" s="443"/>
      <c r="L11" s="151"/>
    </row>
    <row r="12" spans="2:33" x14ac:dyDescent="0.25">
      <c r="B12" s="10"/>
      <c r="C12" s="11" t="s">
        <v>529</v>
      </c>
      <c r="D12" s="11"/>
      <c r="E12" s="661">
        <v>37.53</v>
      </c>
      <c r="F12" s="59" t="s">
        <v>19</v>
      </c>
      <c r="G12" s="183"/>
      <c r="H12" s="151"/>
      <c r="I12" s="444"/>
      <c r="J12" s="444"/>
      <c r="K12" s="444"/>
      <c r="L12" s="151"/>
    </row>
    <row r="13" spans="2:33" x14ac:dyDescent="0.25">
      <c r="B13" s="10"/>
      <c r="C13" s="11" t="s">
        <v>134</v>
      </c>
      <c r="D13" s="11"/>
      <c r="E13" s="498">
        <v>7.0000000000000007E-2</v>
      </c>
      <c r="F13" s="59" t="s">
        <v>132</v>
      </c>
      <c r="G13" s="183"/>
      <c r="H13" s="151"/>
      <c r="I13" s="280"/>
      <c r="J13" s="151"/>
      <c r="K13" s="280"/>
      <c r="L13" s="151"/>
      <c r="AG13" s="133"/>
    </row>
    <row r="14" spans="2:33" x14ac:dyDescent="0.25">
      <c r="B14" s="10"/>
      <c r="C14" s="11" t="s">
        <v>133</v>
      </c>
      <c r="D14" s="11"/>
      <c r="E14" s="498">
        <v>7.0000000000000007E-2</v>
      </c>
      <c r="F14" s="59" t="s">
        <v>19</v>
      </c>
      <c r="G14" s="183"/>
      <c r="H14" s="151"/>
      <c r="I14" s="280"/>
      <c r="J14" s="151"/>
      <c r="K14" s="280"/>
      <c r="L14" s="151"/>
      <c r="AG14" s="133"/>
    </row>
    <row r="15" spans="2:33" x14ac:dyDescent="0.25">
      <c r="B15" s="10"/>
      <c r="C15" s="11"/>
      <c r="D15" s="11"/>
      <c r="E15" s="11"/>
      <c r="F15" s="59"/>
      <c r="G15" s="183"/>
      <c r="H15" s="151"/>
      <c r="I15" s="151"/>
      <c r="J15" s="151"/>
      <c r="K15" s="151"/>
      <c r="L15" s="151"/>
    </row>
    <row r="16" spans="2:33" x14ac:dyDescent="0.25">
      <c r="B16" s="8" t="s">
        <v>131</v>
      </c>
      <c r="C16" s="9"/>
      <c r="D16" s="9"/>
      <c r="E16" s="136"/>
      <c r="F16" s="59"/>
      <c r="G16" s="183"/>
      <c r="H16" s="151"/>
      <c r="I16" s="151"/>
      <c r="J16" s="151"/>
      <c r="K16" s="151"/>
      <c r="L16" s="151"/>
    </row>
    <row r="17" spans="2:33" x14ac:dyDescent="0.25">
      <c r="B17" s="8"/>
      <c r="C17" s="9" t="s">
        <v>130</v>
      </c>
      <c r="D17" s="9"/>
      <c r="E17" s="163">
        <v>0.54</v>
      </c>
      <c r="F17" s="59" t="s">
        <v>7</v>
      </c>
      <c r="G17" s="183"/>
    </row>
    <row r="18" spans="2:33" x14ac:dyDescent="0.25">
      <c r="B18" s="8"/>
      <c r="C18" s="11" t="s">
        <v>129</v>
      </c>
      <c r="D18" s="9"/>
      <c r="E18" s="135">
        <v>0.1115</v>
      </c>
      <c r="F18" s="59" t="s">
        <v>19</v>
      </c>
      <c r="G18" s="183"/>
    </row>
    <row r="19" spans="2:33" x14ac:dyDescent="0.25">
      <c r="B19" s="8"/>
      <c r="C19" s="9" t="s">
        <v>128</v>
      </c>
      <c r="D19" s="9"/>
      <c r="E19" s="164">
        <f>1-E17</f>
        <v>0.45999999999999996</v>
      </c>
      <c r="F19" s="59" t="s">
        <v>19</v>
      </c>
      <c r="G19" s="183"/>
    </row>
    <row r="20" spans="2:33" x14ac:dyDescent="0.25">
      <c r="B20" s="8"/>
      <c r="C20" s="9" t="s">
        <v>319</v>
      </c>
      <c r="D20" s="9"/>
      <c r="E20" s="164">
        <v>4.2200000000000001E-2</v>
      </c>
      <c r="F20" s="59" t="s">
        <v>19</v>
      </c>
      <c r="G20" s="183"/>
    </row>
    <row r="21" spans="2:33" x14ac:dyDescent="0.25">
      <c r="B21" s="8"/>
      <c r="C21" s="9"/>
      <c r="D21" s="9"/>
      <c r="E21" s="136"/>
      <c r="F21" s="59"/>
      <c r="G21" s="183"/>
    </row>
    <row r="22" spans="2:33" x14ac:dyDescent="0.25">
      <c r="B22" s="10" t="s">
        <v>127</v>
      </c>
      <c r="C22" s="11"/>
      <c r="D22" s="11"/>
      <c r="E22" s="136"/>
      <c r="F22" s="59"/>
      <c r="G22" s="183"/>
    </row>
    <row r="23" spans="2:33" x14ac:dyDescent="0.25">
      <c r="B23" s="10"/>
      <c r="C23" s="11" t="s">
        <v>126</v>
      </c>
      <c r="D23" s="11"/>
      <c r="E23" s="162">
        <v>500</v>
      </c>
      <c r="F23" s="59" t="s">
        <v>116</v>
      </c>
      <c r="G23" s="183"/>
    </row>
    <row r="24" spans="2:33" x14ac:dyDescent="0.25">
      <c r="B24" s="10"/>
      <c r="C24" s="11" t="s">
        <v>125</v>
      </c>
      <c r="D24" s="11"/>
      <c r="E24" s="134">
        <v>0.01</v>
      </c>
      <c r="F24" s="59" t="s">
        <v>7</v>
      </c>
      <c r="G24" s="183"/>
    </row>
    <row r="25" spans="2:33" x14ac:dyDescent="0.25">
      <c r="B25" s="10"/>
      <c r="C25" s="9"/>
      <c r="D25" s="9"/>
      <c r="E25" s="136"/>
      <c r="F25" s="59"/>
      <c r="G25" s="183"/>
      <c r="AG25" s="133" t="e">
        <f>AG21/(1-('Utility Sector'!#REF!*(1-'Utility Sector'!$E$27)+'Utility Sector'!$E$27))</f>
        <v>#REF!</v>
      </c>
    </row>
    <row r="26" spans="2:33" x14ac:dyDescent="0.25">
      <c r="B26" s="10" t="s">
        <v>124</v>
      </c>
      <c r="C26" s="9"/>
      <c r="D26" s="9"/>
      <c r="E26" s="136"/>
      <c r="F26" s="59"/>
      <c r="G26" s="183"/>
    </row>
    <row r="27" spans="2:33" x14ac:dyDescent="0.25">
      <c r="B27" s="10"/>
      <c r="C27" s="9" t="s">
        <v>152</v>
      </c>
      <c r="D27" s="9"/>
      <c r="E27" s="134">
        <v>0.36699999999999999</v>
      </c>
      <c r="F27" s="59" t="s">
        <v>7</v>
      </c>
      <c r="G27" s="183"/>
    </row>
    <row r="28" spans="2:33" x14ac:dyDescent="0.25">
      <c r="B28" s="10"/>
      <c r="C28" s="9"/>
      <c r="D28" s="9"/>
      <c r="E28" s="137"/>
      <c r="F28" s="59"/>
      <c r="G28" s="183"/>
    </row>
    <row r="29" spans="2:33" x14ac:dyDescent="0.25">
      <c r="B29" s="10" t="s">
        <v>123</v>
      </c>
      <c r="C29" s="9"/>
      <c r="D29" s="9"/>
      <c r="E29" s="137"/>
      <c r="F29" s="59"/>
      <c r="G29" s="183"/>
    </row>
    <row r="30" spans="2:33" x14ac:dyDescent="0.25">
      <c r="B30" s="10"/>
      <c r="C30" s="9" t="s">
        <v>122</v>
      </c>
      <c r="D30" s="9"/>
      <c r="E30" s="164">
        <v>3.2000000000000001E-2</v>
      </c>
      <c r="F30" s="59" t="s">
        <v>7</v>
      </c>
      <c r="G30" s="183"/>
    </row>
    <row r="31" spans="2:33" x14ac:dyDescent="0.25">
      <c r="B31" s="10"/>
      <c r="C31" s="9"/>
      <c r="D31" s="9"/>
      <c r="E31" s="137"/>
      <c r="F31" s="59"/>
      <c r="G31" s="183"/>
    </row>
    <row r="32" spans="2:33" x14ac:dyDescent="0.25">
      <c r="B32" s="724" t="s">
        <v>140</v>
      </c>
      <c r="C32" s="725"/>
      <c r="D32" s="725"/>
      <c r="E32" s="725"/>
      <c r="F32" s="765"/>
      <c r="G32" s="182"/>
    </row>
    <row r="33" spans="2:33" outlineLevel="1" x14ac:dyDescent="0.25">
      <c r="B33" s="708" t="s">
        <v>3</v>
      </c>
      <c r="C33" s="709"/>
      <c r="D33" s="709"/>
      <c r="E33" s="103" t="s">
        <v>5</v>
      </c>
      <c r="F33" s="28" t="s">
        <v>4</v>
      </c>
      <c r="G33" s="185"/>
    </row>
    <row r="34" spans="2:33" outlineLevel="1" x14ac:dyDescent="0.25">
      <c r="B34" s="10" t="s">
        <v>401</v>
      </c>
      <c r="C34" s="9"/>
      <c r="D34" s="9"/>
      <c r="E34" s="146" t="b">
        <v>1</v>
      </c>
      <c r="F34" s="59" t="s">
        <v>87</v>
      </c>
      <c r="G34" s="183"/>
    </row>
    <row r="35" spans="2:33" outlineLevel="1" x14ac:dyDescent="0.25">
      <c r="B35" s="10"/>
      <c r="C35" s="9" t="s">
        <v>584</v>
      </c>
      <c r="D35" s="9"/>
      <c r="E35" s="146" t="s">
        <v>419</v>
      </c>
      <c r="F35" s="59" t="s">
        <v>566</v>
      </c>
      <c r="G35" s="183"/>
    </row>
    <row r="36" spans="2:33" outlineLevel="1" x14ac:dyDescent="0.25">
      <c r="B36" s="10"/>
      <c r="C36" s="9" t="s">
        <v>587</v>
      </c>
      <c r="D36" s="9"/>
      <c r="E36" s="165">
        <v>8.5000000000000006E-2</v>
      </c>
      <c r="F36" s="59" t="s">
        <v>19</v>
      </c>
      <c r="G36" s="183"/>
    </row>
    <row r="37" spans="2:33" outlineLevel="1" x14ac:dyDescent="0.25">
      <c r="B37" s="10"/>
      <c r="C37" s="9"/>
      <c r="D37" s="9"/>
      <c r="E37" s="165"/>
      <c r="F37" s="59"/>
      <c r="G37" s="183"/>
    </row>
    <row r="38" spans="2:33" outlineLevel="1" x14ac:dyDescent="0.25">
      <c r="B38" s="10" t="s">
        <v>567</v>
      </c>
      <c r="C38" s="9"/>
      <c r="D38" s="9"/>
      <c r="E38" s="165"/>
      <c r="F38" s="59"/>
      <c r="G38" s="183"/>
    </row>
    <row r="39" spans="2:33" outlineLevel="1" x14ac:dyDescent="0.25">
      <c r="B39" s="10"/>
      <c r="C39" s="9" t="s">
        <v>568</v>
      </c>
      <c r="D39" s="9"/>
      <c r="E39" s="165" t="b">
        <v>1</v>
      </c>
      <c r="F39" s="59" t="s">
        <v>87</v>
      </c>
      <c r="G39" s="183"/>
    </row>
    <row r="40" spans="2:33" hidden="1" outlineLevel="2" x14ac:dyDescent="0.25">
      <c r="B40" s="10"/>
      <c r="C40" s="9"/>
      <c r="D40" s="9" t="s">
        <v>569</v>
      </c>
      <c r="E40" s="165" t="s">
        <v>571</v>
      </c>
      <c r="F40" s="59" t="s">
        <v>566</v>
      </c>
      <c r="G40" s="183"/>
    </row>
    <row r="41" spans="2:33" hidden="1" outlineLevel="2" x14ac:dyDescent="0.25">
      <c r="B41" s="10"/>
      <c r="C41" s="9"/>
      <c r="D41" s="9" t="s">
        <v>565</v>
      </c>
      <c r="E41" s="165">
        <v>0.1</v>
      </c>
      <c r="F41" s="59" t="s">
        <v>7</v>
      </c>
      <c r="G41" s="183"/>
    </row>
    <row r="42" spans="2:33" outlineLevel="1" collapsed="1" x14ac:dyDescent="0.25">
      <c r="B42" s="10"/>
      <c r="C42" s="9" t="s">
        <v>582</v>
      </c>
      <c r="D42" s="9"/>
      <c r="E42" s="165" t="b">
        <v>0</v>
      </c>
      <c r="F42" s="59" t="s">
        <v>87</v>
      </c>
      <c r="G42" s="183"/>
    </row>
    <row r="43" spans="2:33" hidden="1" outlineLevel="2" x14ac:dyDescent="0.25">
      <c r="B43" s="10"/>
      <c r="C43" s="9"/>
      <c r="D43" s="9" t="s">
        <v>570</v>
      </c>
      <c r="E43" s="165" t="s">
        <v>564</v>
      </c>
      <c r="F43" s="59" t="s">
        <v>566</v>
      </c>
      <c r="G43" s="183"/>
    </row>
    <row r="44" spans="2:33" hidden="1" outlineLevel="2" x14ac:dyDescent="0.25">
      <c r="B44" s="10"/>
      <c r="C44" s="9"/>
      <c r="D44" s="9" t="s">
        <v>580</v>
      </c>
      <c r="E44" s="682">
        <v>0.5</v>
      </c>
      <c r="F44" s="59" t="s">
        <v>7</v>
      </c>
      <c r="G44" s="183"/>
      <c r="H44" s="685" t="s">
        <v>24</v>
      </c>
      <c r="I44" s="610" t="s">
        <v>0</v>
      </c>
      <c r="J44" s="610" t="s">
        <v>1</v>
      </c>
      <c r="K44" s="610" t="s">
        <v>9</v>
      </c>
      <c r="L44" s="610" t="s">
        <v>10</v>
      </c>
      <c r="M44" s="610" t="s">
        <v>11</v>
      </c>
      <c r="N44" s="610" t="s">
        <v>12</v>
      </c>
      <c r="O44" s="610" t="s">
        <v>13</v>
      </c>
      <c r="P44" s="610" t="s">
        <v>14</v>
      </c>
      <c r="Q44" s="610" t="s">
        <v>15</v>
      </c>
      <c r="R44" s="610" t="s">
        <v>16</v>
      </c>
      <c r="S44" s="610" t="s">
        <v>39</v>
      </c>
      <c r="T44" s="610" t="s">
        <v>41</v>
      </c>
      <c r="U44" s="610" t="s">
        <v>42</v>
      </c>
      <c r="V44" s="610" t="s">
        <v>43</v>
      </c>
      <c r="W44" s="610" t="s">
        <v>44</v>
      </c>
      <c r="X44" s="610" t="s">
        <v>45</v>
      </c>
      <c r="Y44" s="610" t="s">
        <v>46</v>
      </c>
      <c r="Z44" s="610" t="s">
        <v>47</v>
      </c>
      <c r="AA44" s="610" t="s">
        <v>48</v>
      </c>
      <c r="AB44" s="610" t="s">
        <v>49</v>
      </c>
      <c r="AC44" s="610" t="s">
        <v>50</v>
      </c>
      <c r="AD44" s="610" t="s">
        <v>51</v>
      </c>
      <c r="AE44" s="610" t="s">
        <v>52</v>
      </c>
      <c r="AF44" s="610" t="s">
        <v>53</v>
      </c>
      <c r="AG44" s="611" t="s">
        <v>54</v>
      </c>
    </row>
    <row r="45" spans="2:33" hidden="1" outlineLevel="2" x14ac:dyDescent="0.25">
      <c r="B45" s="10"/>
      <c r="C45" s="9"/>
      <c r="D45" s="9" t="s">
        <v>575</v>
      </c>
      <c r="E45" s="683" t="s">
        <v>574</v>
      </c>
      <c r="F45" s="59" t="s">
        <v>121</v>
      </c>
      <c r="G45" s="183"/>
      <c r="H45" s="686">
        <v>0</v>
      </c>
      <c r="I45" s="687">
        <v>500</v>
      </c>
      <c r="J45" s="687">
        <v>500</v>
      </c>
      <c r="K45" s="687">
        <v>500</v>
      </c>
      <c r="L45" s="687">
        <v>500</v>
      </c>
      <c r="M45" s="687">
        <v>500</v>
      </c>
      <c r="N45" s="687">
        <v>500</v>
      </c>
      <c r="O45" s="687">
        <v>500</v>
      </c>
      <c r="P45" s="687">
        <v>500</v>
      </c>
      <c r="Q45" s="687">
        <v>500</v>
      </c>
      <c r="R45" s="687">
        <v>500</v>
      </c>
      <c r="S45" s="687">
        <v>500</v>
      </c>
      <c r="T45" s="687">
        <v>500</v>
      </c>
      <c r="U45" s="687">
        <v>500</v>
      </c>
      <c r="V45" s="687">
        <v>500</v>
      </c>
      <c r="W45" s="687">
        <v>500</v>
      </c>
      <c r="X45" s="687">
        <v>500</v>
      </c>
      <c r="Y45" s="687">
        <v>500</v>
      </c>
      <c r="Z45" s="687">
        <v>500</v>
      </c>
      <c r="AA45" s="687">
        <v>500</v>
      </c>
      <c r="AB45" s="687">
        <v>500</v>
      </c>
      <c r="AC45" s="687">
        <v>500</v>
      </c>
      <c r="AD45" s="687">
        <v>500</v>
      </c>
      <c r="AE45" s="687">
        <v>500</v>
      </c>
      <c r="AF45" s="687">
        <v>500</v>
      </c>
      <c r="AG45" s="688">
        <v>500</v>
      </c>
    </row>
    <row r="46" spans="2:33" hidden="1" outlineLevel="2" x14ac:dyDescent="0.25">
      <c r="B46" s="10"/>
      <c r="C46" s="9"/>
      <c r="D46" s="9" t="s">
        <v>576</v>
      </c>
      <c r="E46" s="683" t="s">
        <v>574</v>
      </c>
      <c r="F46" s="59" t="s">
        <v>19</v>
      </c>
      <c r="G46" s="183"/>
      <c r="H46" s="689">
        <v>0</v>
      </c>
      <c r="I46" s="690">
        <v>1000</v>
      </c>
      <c r="J46" s="690">
        <v>1000</v>
      </c>
      <c r="K46" s="690">
        <v>1000</v>
      </c>
      <c r="L46" s="690">
        <v>1000</v>
      </c>
      <c r="M46" s="690">
        <v>1000</v>
      </c>
      <c r="N46" s="690">
        <v>1000</v>
      </c>
      <c r="O46" s="690">
        <v>1000</v>
      </c>
      <c r="P46" s="690">
        <v>1000</v>
      </c>
      <c r="Q46" s="690">
        <v>1000</v>
      </c>
      <c r="R46" s="690">
        <v>1000</v>
      </c>
      <c r="S46" s="690">
        <v>1000</v>
      </c>
      <c r="T46" s="690">
        <v>1000</v>
      </c>
      <c r="U46" s="690">
        <v>1000</v>
      </c>
      <c r="V46" s="690">
        <v>1000</v>
      </c>
      <c r="W46" s="690">
        <v>1000</v>
      </c>
      <c r="X46" s="690">
        <v>1000</v>
      </c>
      <c r="Y46" s="690">
        <v>1000</v>
      </c>
      <c r="Z46" s="690">
        <v>1000</v>
      </c>
      <c r="AA46" s="690">
        <v>1000</v>
      </c>
      <c r="AB46" s="690">
        <v>1000</v>
      </c>
      <c r="AC46" s="690">
        <v>1000</v>
      </c>
      <c r="AD46" s="690">
        <v>1000</v>
      </c>
      <c r="AE46" s="690">
        <v>1000</v>
      </c>
      <c r="AF46" s="690">
        <v>1000</v>
      </c>
      <c r="AG46" s="691">
        <v>1000</v>
      </c>
    </row>
    <row r="47" spans="2:33" outlineLevel="1" collapsed="1" x14ac:dyDescent="0.25">
      <c r="B47" s="10"/>
      <c r="C47" s="9" t="s">
        <v>577</v>
      </c>
      <c r="D47" s="9"/>
      <c r="E47" s="165" t="b">
        <v>1</v>
      </c>
      <c r="F47" s="59" t="s">
        <v>87</v>
      </c>
      <c r="G47" s="183"/>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row>
    <row r="48" spans="2:33" hidden="1" outlineLevel="2" x14ac:dyDescent="0.25">
      <c r="B48" s="10"/>
      <c r="C48" s="9"/>
      <c r="D48" s="9" t="s">
        <v>578</v>
      </c>
      <c r="E48" s="682">
        <v>0.8</v>
      </c>
      <c r="F48" s="59" t="s">
        <v>7</v>
      </c>
      <c r="G48" s="183"/>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row>
    <row r="49" spans="1:34" hidden="1" outlineLevel="2" x14ac:dyDescent="0.25">
      <c r="B49" s="10"/>
      <c r="C49" s="9"/>
      <c r="D49" s="9" t="s">
        <v>579</v>
      </c>
      <c r="E49" s="682">
        <v>0.8</v>
      </c>
      <c r="F49" s="59" t="s">
        <v>19</v>
      </c>
      <c r="G49" s="183"/>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row>
    <row r="50" spans="1:34" outlineLevel="1" collapsed="1" x14ac:dyDescent="0.25">
      <c r="A50" s="151"/>
      <c r="B50" s="26"/>
      <c r="C50" s="138"/>
      <c r="D50" s="138"/>
      <c r="E50" s="139"/>
      <c r="F50" s="78"/>
      <c r="G50" s="183"/>
    </row>
    <row r="51" spans="1:34" x14ac:dyDescent="0.25">
      <c r="A51" s="151"/>
      <c r="B51" s="756" t="s">
        <v>441</v>
      </c>
      <c r="C51" s="757"/>
      <c r="D51" s="757"/>
      <c r="E51" s="757"/>
      <c r="F51" s="758"/>
      <c r="G51" s="182"/>
    </row>
    <row r="52" spans="1:34" hidden="1" outlineLevel="1" x14ac:dyDescent="0.25">
      <c r="A52" s="151"/>
      <c r="B52" s="708" t="s">
        <v>3</v>
      </c>
      <c r="C52" s="709"/>
      <c r="D52" s="709"/>
      <c r="E52" s="87" t="s">
        <v>5</v>
      </c>
      <c r="F52" s="28" t="s">
        <v>4</v>
      </c>
      <c r="G52" s="185"/>
    </row>
    <row r="53" spans="1:34" hidden="1" outlineLevel="1" x14ac:dyDescent="0.25">
      <c r="A53" s="151"/>
      <c r="B53" s="191" t="s">
        <v>96</v>
      </c>
      <c r="C53" s="192"/>
      <c r="D53" s="192"/>
      <c r="E53" s="207"/>
      <c r="F53" s="193"/>
      <c r="G53" s="187"/>
      <c r="H53" s="151"/>
    </row>
    <row r="54" spans="1:34" hidden="1" outlineLevel="1" x14ac:dyDescent="0.25">
      <c r="A54" s="151"/>
      <c r="B54" s="191"/>
      <c r="C54" s="192" t="s">
        <v>156</v>
      </c>
      <c r="D54" s="192"/>
      <c r="E54" s="205" t="b">
        <v>0</v>
      </c>
      <c r="F54" s="193" t="s">
        <v>87</v>
      </c>
      <c r="G54" s="187"/>
      <c r="H54" s="151"/>
    </row>
    <row r="55" spans="1:34" ht="15" hidden="1" customHeight="1" outlineLevel="2" x14ac:dyDescent="0.25">
      <c r="A55" s="151"/>
      <c r="B55" s="191"/>
      <c r="C55" s="192"/>
      <c r="D55" s="194" t="s">
        <v>3</v>
      </c>
      <c r="E55" s="206" t="s">
        <v>153</v>
      </c>
      <c r="F55" s="193" t="s">
        <v>185</v>
      </c>
      <c r="G55" s="187"/>
      <c r="H55" s="759" t="s">
        <v>168</v>
      </c>
      <c r="I55" s="189" t="str">
        <f>"Y"&amp;I56</f>
        <v>Y0</v>
      </c>
      <c r="J55" s="189" t="str">
        <f t="shared" ref="J55:AE55" si="0">"Y"&amp;J56</f>
        <v>Y1</v>
      </c>
      <c r="K55" s="189" t="str">
        <f t="shared" si="0"/>
        <v>Y2</v>
      </c>
      <c r="L55" s="189" t="str">
        <f t="shared" si="0"/>
        <v>Y3</v>
      </c>
      <c r="M55" s="189" t="str">
        <f t="shared" si="0"/>
        <v>Y4</v>
      </c>
      <c r="N55" s="189" t="str">
        <f t="shared" si="0"/>
        <v>Y5</v>
      </c>
      <c r="O55" s="189" t="str">
        <f t="shared" si="0"/>
        <v>Y6</v>
      </c>
      <c r="P55" s="189" t="str">
        <f t="shared" si="0"/>
        <v>Y7</v>
      </c>
      <c r="Q55" s="189" t="str">
        <f t="shared" si="0"/>
        <v>Y8</v>
      </c>
      <c r="R55" s="189" t="str">
        <f t="shared" si="0"/>
        <v>Y9</v>
      </c>
      <c r="S55" s="189" t="str">
        <f t="shared" si="0"/>
        <v>Y10</v>
      </c>
      <c r="T55" s="189" t="str">
        <f t="shared" si="0"/>
        <v>Y11</v>
      </c>
      <c r="U55" s="189" t="str">
        <f t="shared" si="0"/>
        <v>Y12</v>
      </c>
      <c r="V55" s="189" t="str">
        <f t="shared" si="0"/>
        <v>Y13</v>
      </c>
      <c r="W55" s="189" t="str">
        <f t="shared" si="0"/>
        <v>Y14</v>
      </c>
      <c r="X55" s="189" t="str">
        <f t="shared" si="0"/>
        <v>Y15</v>
      </c>
      <c r="Y55" s="189" t="str">
        <f t="shared" si="0"/>
        <v>Y16</v>
      </c>
      <c r="Z55" s="189" t="str">
        <f t="shared" si="0"/>
        <v>Y17</v>
      </c>
      <c r="AA55" s="189" t="str">
        <f t="shared" si="0"/>
        <v>Y18</v>
      </c>
      <c r="AB55" s="189" t="str">
        <f t="shared" si="0"/>
        <v>Y19</v>
      </c>
      <c r="AC55" s="189" t="str">
        <f t="shared" si="0"/>
        <v>Y20</v>
      </c>
      <c r="AD55" s="189" t="str">
        <f t="shared" si="0"/>
        <v>Y21</v>
      </c>
      <c r="AE55" s="189" t="str">
        <f t="shared" si="0"/>
        <v>Y22</v>
      </c>
      <c r="AF55" s="189" t="str">
        <f>"Y"&amp;AF56</f>
        <v>Y23</v>
      </c>
      <c r="AG55" s="189" t="str">
        <f>"Y"&amp;AG56</f>
        <v>Y24</v>
      </c>
      <c r="AH55" s="190" t="str">
        <f>"Y"&amp;AH56</f>
        <v>Y25</v>
      </c>
    </row>
    <row r="56" spans="1:34" hidden="1" outlineLevel="2" x14ac:dyDescent="0.25">
      <c r="A56" s="151"/>
      <c r="B56" s="191"/>
      <c r="C56" s="192"/>
      <c r="D56" s="192" t="s">
        <v>369</v>
      </c>
      <c r="E56" s="207">
        <v>7</v>
      </c>
      <c r="F56" s="193" t="s">
        <v>97</v>
      </c>
      <c r="G56" s="187"/>
      <c r="H56" s="760"/>
      <c r="I56" s="174">
        <v>0</v>
      </c>
      <c r="J56" s="174">
        <v>1</v>
      </c>
      <c r="K56" s="174">
        <v>2</v>
      </c>
      <c r="L56" s="174">
        <v>3</v>
      </c>
      <c r="M56" s="174">
        <v>4</v>
      </c>
      <c r="N56" s="174">
        <v>5</v>
      </c>
      <c r="O56" s="174">
        <v>6</v>
      </c>
      <c r="P56" s="174">
        <v>7</v>
      </c>
      <c r="Q56" s="174">
        <v>8</v>
      </c>
      <c r="R56" s="174">
        <v>9</v>
      </c>
      <c r="S56" s="174">
        <v>10</v>
      </c>
      <c r="T56" s="174">
        <v>11</v>
      </c>
      <c r="U56" s="174">
        <v>12</v>
      </c>
      <c r="V56" s="174">
        <v>13</v>
      </c>
      <c r="W56" s="174">
        <v>14</v>
      </c>
      <c r="X56" s="174">
        <v>15</v>
      </c>
      <c r="Y56" s="174">
        <v>16</v>
      </c>
      <c r="Z56" s="174">
        <v>17</v>
      </c>
      <c r="AA56" s="174">
        <v>18</v>
      </c>
      <c r="AB56" s="174">
        <v>19</v>
      </c>
      <c r="AC56" s="174">
        <v>20</v>
      </c>
      <c r="AD56" s="174">
        <v>21</v>
      </c>
      <c r="AE56" s="174">
        <v>22</v>
      </c>
      <c r="AF56" s="174">
        <v>23</v>
      </c>
      <c r="AG56" s="174">
        <v>24</v>
      </c>
      <c r="AH56" s="176">
        <v>25</v>
      </c>
    </row>
    <row r="57" spans="1:34" hidden="1" outlineLevel="2" x14ac:dyDescent="0.25">
      <c r="A57" s="151"/>
      <c r="B57" s="191"/>
      <c r="C57" s="192"/>
      <c r="D57" s="192" t="s">
        <v>426</v>
      </c>
      <c r="E57" s="340" t="s">
        <v>368</v>
      </c>
      <c r="F57" s="195" t="s">
        <v>184</v>
      </c>
      <c r="G57" s="188"/>
      <c r="H57" s="760"/>
      <c r="I57" s="112">
        <f>IF($E$54=TRUE,I58,0)</f>
        <v>0</v>
      </c>
      <c r="J57" s="112">
        <f t="shared" ref="J57:AH57" si="1">IF($E$54=TRUE,J58,0)</f>
        <v>0</v>
      </c>
      <c r="K57" s="112">
        <f t="shared" si="1"/>
        <v>0</v>
      </c>
      <c r="L57" s="112">
        <f t="shared" si="1"/>
        <v>0</v>
      </c>
      <c r="M57" s="112">
        <f t="shared" si="1"/>
        <v>0</v>
      </c>
      <c r="N57" s="112">
        <f t="shared" si="1"/>
        <v>0</v>
      </c>
      <c r="O57" s="112">
        <f t="shared" si="1"/>
        <v>0</v>
      </c>
      <c r="P57" s="112">
        <f t="shared" si="1"/>
        <v>0</v>
      </c>
      <c r="Q57" s="112">
        <f t="shared" si="1"/>
        <v>0</v>
      </c>
      <c r="R57" s="112">
        <f t="shared" si="1"/>
        <v>0</v>
      </c>
      <c r="S57" s="112">
        <f t="shared" si="1"/>
        <v>0</v>
      </c>
      <c r="T57" s="112">
        <f t="shared" si="1"/>
        <v>0</v>
      </c>
      <c r="U57" s="112">
        <f t="shared" si="1"/>
        <v>0</v>
      </c>
      <c r="V57" s="112">
        <f t="shared" si="1"/>
        <v>0</v>
      </c>
      <c r="W57" s="112">
        <f t="shared" si="1"/>
        <v>0</v>
      </c>
      <c r="X57" s="112">
        <f t="shared" si="1"/>
        <v>0</v>
      </c>
      <c r="Y57" s="112">
        <f t="shared" si="1"/>
        <v>0</v>
      </c>
      <c r="Z57" s="112">
        <f t="shared" si="1"/>
        <v>0</v>
      </c>
      <c r="AA57" s="112">
        <f t="shared" si="1"/>
        <v>0</v>
      </c>
      <c r="AB57" s="112">
        <f t="shared" si="1"/>
        <v>0</v>
      </c>
      <c r="AC57" s="112">
        <f t="shared" si="1"/>
        <v>0</v>
      </c>
      <c r="AD57" s="112">
        <f t="shared" si="1"/>
        <v>0</v>
      </c>
      <c r="AE57" s="112">
        <f t="shared" si="1"/>
        <v>0</v>
      </c>
      <c r="AF57" s="112">
        <f t="shared" si="1"/>
        <v>0</v>
      </c>
      <c r="AG57" s="112">
        <f t="shared" si="1"/>
        <v>0</v>
      </c>
      <c r="AH57" s="113">
        <f t="shared" si="1"/>
        <v>0</v>
      </c>
    </row>
    <row r="58" spans="1:34" hidden="1" outlineLevel="2" x14ac:dyDescent="0.25">
      <c r="A58" s="151"/>
      <c r="B58" s="191"/>
      <c r="C58" s="192"/>
      <c r="D58" s="192"/>
      <c r="E58" s="208"/>
      <c r="F58" s="193"/>
      <c r="G58" s="187"/>
      <c r="H58" s="761"/>
      <c r="I58" s="238">
        <v>0</v>
      </c>
      <c r="J58" s="238">
        <v>0</v>
      </c>
      <c r="K58" s="238">
        <v>0</v>
      </c>
      <c r="L58" s="238">
        <v>100</v>
      </c>
      <c r="M58" s="238">
        <v>100</v>
      </c>
      <c r="N58" s="238">
        <v>100</v>
      </c>
      <c r="O58" s="238">
        <v>100</v>
      </c>
      <c r="P58" s="238">
        <v>100</v>
      </c>
      <c r="Q58" s="238">
        <v>0</v>
      </c>
      <c r="R58" s="238">
        <v>0</v>
      </c>
      <c r="S58" s="238">
        <v>0</v>
      </c>
      <c r="T58" s="238">
        <v>0</v>
      </c>
      <c r="U58" s="238">
        <v>0</v>
      </c>
      <c r="V58" s="238">
        <v>0</v>
      </c>
      <c r="W58" s="238">
        <v>0</v>
      </c>
      <c r="X58" s="238">
        <v>0</v>
      </c>
      <c r="Y58" s="238">
        <v>0</v>
      </c>
      <c r="Z58" s="238">
        <v>0</v>
      </c>
      <c r="AA58" s="238">
        <v>0</v>
      </c>
      <c r="AB58" s="238">
        <v>0</v>
      </c>
      <c r="AC58" s="238">
        <v>0</v>
      </c>
      <c r="AD58" s="238">
        <v>0</v>
      </c>
      <c r="AE58" s="238">
        <v>0</v>
      </c>
      <c r="AF58" s="238">
        <v>0</v>
      </c>
      <c r="AG58" s="238">
        <v>0</v>
      </c>
      <c r="AH58" s="341">
        <v>0</v>
      </c>
    </row>
    <row r="59" spans="1:34" hidden="1" outlineLevel="1" collapsed="1" x14ac:dyDescent="0.25">
      <c r="A59" s="151"/>
      <c r="B59" s="191"/>
      <c r="C59" s="192" t="s">
        <v>164</v>
      </c>
      <c r="D59" s="192"/>
      <c r="E59" s="205" t="b">
        <v>0</v>
      </c>
      <c r="F59" s="193" t="s">
        <v>87</v>
      </c>
      <c r="G59" s="187"/>
      <c r="H59" s="151"/>
    </row>
    <row r="60" spans="1:34" ht="15" hidden="1" customHeight="1" outlineLevel="2" x14ac:dyDescent="0.25">
      <c r="A60" s="151"/>
      <c r="B60" s="191"/>
      <c r="C60" s="192"/>
      <c r="D60" s="194" t="s">
        <v>3</v>
      </c>
      <c r="E60" s="206" t="s">
        <v>180</v>
      </c>
      <c r="F60" s="193" t="s">
        <v>185</v>
      </c>
      <c r="G60" s="187"/>
      <c r="H60" s="759" t="s">
        <v>176</v>
      </c>
      <c r="I60" s="189" t="str">
        <f t="shared" ref="I60:AH60" si="2">"Y"&amp;I61</f>
        <v>Y0</v>
      </c>
      <c r="J60" s="189" t="str">
        <f t="shared" si="2"/>
        <v>Y1</v>
      </c>
      <c r="K60" s="189" t="str">
        <f t="shared" si="2"/>
        <v>Y2</v>
      </c>
      <c r="L60" s="189" t="str">
        <f t="shared" si="2"/>
        <v>Y3</v>
      </c>
      <c r="M60" s="189" t="str">
        <f t="shared" si="2"/>
        <v>Y4</v>
      </c>
      <c r="N60" s="189" t="str">
        <f t="shared" si="2"/>
        <v>Y5</v>
      </c>
      <c r="O60" s="189" t="str">
        <f t="shared" si="2"/>
        <v>Y6</v>
      </c>
      <c r="P60" s="189" t="str">
        <f t="shared" si="2"/>
        <v>Y7</v>
      </c>
      <c r="Q60" s="189" t="str">
        <f t="shared" si="2"/>
        <v>Y8</v>
      </c>
      <c r="R60" s="189" t="str">
        <f t="shared" si="2"/>
        <v>Y9</v>
      </c>
      <c r="S60" s="189" t="str">
        <f t="shared" si="2"/>
        <v>Y10</v>
      </c>
      <c r="T60" s="189" t="str">
        <f t="shared" si="2"/>
        <v>Y11</v>
      </c>
      <c r="U60" s="189" t="str">
        <f t="shared" si="2"/>
        <v>Y12</v>
      </c>
      <c r="V60" s="189" t="str">
        <f t="shared" si="2"/>
        <v>Y13</v>
      </c>
      <c r="W60" s="189" t="str">
        <f t="shared" si="2"/>
        <v>Y14</v>
      </c>
      <c r="X60" s="189" t="str">
        <f t="shared" si="2"/>
        <v>Y15</v>
      </c>
      <c r="Y60" s="189" t="str">
        <f t="shared" si="2"/>
        <v>Y16</v>
      </c>
      <c r="Z60" s="189" t="str">
        <f t="shared" si="2"/>
        <v>Y17</v>
      </c>
      <c r="AA60" s="189" t="str">
        <f t="shared" si="2"/>
        <v>Y18</v>
      </c>
      <c r="AB60" s="189" t="str">
        <f t="shared" si="2"/>
        <v>Y19</v>
      </c>
      <c r="AC60" s="189" t="str">
        <f t="shared" si="2"/>
        <v>Y20</v>
      </c>
      <c r="AD60" s="189" t="str">
        <f t="shared" si="2"/>
        <v>Y21</v>
      </c>
      <c r="AE60" s="189" t="str">
        <f t="shared" si="2"/>
        <v>Y22</v>
      </c>
      <c r="AF60" s="189" t="str">
        <f t="shared" si="2"/>
        <v>Y23</v>
      </c>
      <c r="AG60" s="189" t="str">
        <f t="shared" si="2"/>
        <v>Y24</v>
      </c>
      <c r="AH60" s="190" t="str">
        <f t="shared" si="2"/>
        <v>Y25</v>
      </c>
    </row>
    <row r="61" spans="1:34" hidden="1" outlineLevel="2" x14ac:dyDescent="0.25">
      <c r="A61" s="151"/>
      <c r="B61" s="191"/>
      <c r="C61" s="192"/>
      <c r="D61" s="192" t="s">
        <v>369</v>
      </c>
      <c r="E61" s="207">
        <v>17</v>
      </c>
      <c r="F61" s="193" t="s">
        <v>97</v>
      </c>
      <c r="G61" s="187"/>
      <c r="H61" s="760"/>
      <c r="I61" s="174">
        <v>0</v>
      </c>
      <c r="J61" s="174">
        <v>1</v>
      </c>
      <c r="K61" s="174">
        <v>2</v>
      </c>
      <c r="L61" s="174">
        <v>3</v>
      </c>
      <c r="M61" s="174">
        <v>4</v>
      </c>
      <c r="N61" s="174">
        <v>5</v>
      </c>
      <c r="O61" s="174">
        <v>6</v>
      </c>
      <c r="P61" s="174">
        <v>7</v>
      </c>
      <c r="Q61" s="174">
        <v>8</v>
      </c>
      <c r="R61" s="174">
        <v>9</v>
      </c>
      <c r="S61" s="174">
        <v>10</v>
      </c>
      <c r="T61" s="174">
        <v>11</v>
      </c>
      <c r="U61" s="174">
        <v>12</v>
      </c>
      <c r="V61" s="174">
        <v>13</v>
      </c>
      <c r="W61" s="174">
        <v>14</v>
      </c>
      <c r="X61" s="174">
        <v>15</v>
      </c>
      <c r="Y61" s="174">
        <v>16</v>
      </c>
      <c r="Z61" s="174">
        <v>17</v>
      </c>
      <c r="AA61" s="174">
        <v>18</v>
      </c>
      <c r="AB61" s="174">
        <v>19</v>
      </c>
      <c r="AC61" s="174">
        <v>20</v>
      </c>
      <c r="AD61" s="174">
        <v>21</v>
      </c>
      <c r="AE61" s="174">
        <v>22</v>
      </c>
      <c r="AF61" s="174">
        <v>23</v>
      </c>
      <c r="AG61" s="174">
        <v>24</v>
      </c>
      <c r="AH61" s="176">
        <v>25</v>
      </c>
    </row>
    <row r="62" spans="1:34" hidden="1" outlineLevel="2" x14ac:dyDescent="0.25">
      <c r="A62" s="151"/>
      <c r="B62" s="191"/>
      <c r="C62" s="192"/>
      <c r="D62" s="192" t="s">
        <v>426</v>
      </c>
      <c r="E62" s="340" t="s">
        <v>368</v>
      </c>
      <c r="F62" s="195" t="s">
        <v>184</v>
      </c>
      <c r="G62" s="188"/>
      <c r="H62" s="760"/>
      <c r="I62" s="112">
        <f>IF($E$59=TRUE,I63,0)</f>
        <v>0</v>
      </c>
      <c r="J62" s="112">
        <f t="shared" ref="J62:AH62" si="3">IF($E$59=TRUE,J63,0)</f>
        <v>0</v>
      </c>
      <c r="K62" s="112">
        <f t="shared" si="3"/>
        <v>0</v>
      </c>
      <c r="L62" s="112">
        <f t="shared" si="3"/>
        <v>0</v>
      </c>
      <c r="M62" s="112">
        <f t="shared" si="3"/>
        <v>0</v>
      </c>
      <c r="N62" s="112">
        <f t="shared" si="3"/>
        <v>0</v>
      </c>
      <c r="O62" s="112">
        <f t="shared" si="3"/>
        <v>0</v>
      </c>
      <c r="P62" s="112">
        <f t="shared" si="3"/>
        <v>0</v>
      </c>
      <c r="Q62" s="112">
        <f t="shared" si="3"/>
        <v>0</v>
      </c>
      <c r="R62" s="112">
        <f t="shared" si="3"/>
        <v>0</v>
      </c>
      <c r="S62" s="112">
        <f t="shared" si="3"/>
        <v>0</v>
      </c>
      <c r="T62" s="112">
        <f t="shared" si="3"/>
        <v>0</v>
      </c>
      <c r="U62" s="112">
        <f t="shared" si="3"/>
        <v>0</v>
      </c>
      <c r="V62" s="112">
        <f t="shared" si="3"/>
        <v>0</v>
      </c>
      <c r="W62" s="112">
        <f t="shared" si="3"/>
        <v>0</v>
      </c>
      <c r="X62" s="112">
        <f t="shared" si="3"/>
        <v>0</v>
      </c>
      <c r="Y62" s="112">
        <f t="shared" si="3"/>
        <v>0</v>
      </c>
      <c r="Z62" s="112">
        <f t="shared" si="3"/>
        <v>0</v>
      </c>
      <c r="AA62" s="112">
        <f t="shared" si="3"/>
        <v>0</v>
      </c>
      <c r="AB62" s="112">
        <f t="shared" si="3"/>
        <v>0</v>
      </c>
      <c r="AC62" s="112">
        <f t="shared" si="3"/>
        <v>0</v>
      </c>
      <c r="AD62" s="112">
        <f t="shared" si="3"/>
        <v>0</v>
      </c>
      <c r="AE62" s="112">
        <f t="shared" si="3"/>
        <v>0</v>
      </c>
      <c r="AF62" s="112">
        <f t="shared" si="3"/>
        <v>0</v>
      </c>
      <c r="AG62" s="112">
        <f t="shared" si="3"/>
        <v>0</v>
      </c>
      <c r="AH62" s="113">
        <f t="shared" si="3"/>
        <v>0</v>
      </c>
    </row>
    <row r="63" spans="1:34" hidden="1" outlineLevel="2" x14ac:dyDescent="0.25">
      <c r="A63" s="151"/>
      <c r="B63" s="191"/>
      <c r="C63" s="192"/>
      <c r="D63" s="192"/>
      <c r="E63" s="208"/>
      <c r="F63" s="193"/>
      <c r="G63" s="187"/>
      <c r="H63" s="761"/>
      <c r="I63" s="238">
        <v>0</v>
      </c>
      <c r="J63" s="238">
        <v>0</v>
      </c>
      <c r="K63" s="238">
        <v>0</v>
      </c>
      <c r="L63" s="238">
        <v>0</v>
      </c>
      <c r="M63" s="238">
        <v>0</v>
      </c>
      <c r="N63" s="238">
        <v>0</v>
      </c>
      <c r="O63" s="238">
        <v>0</v>
      </c>
      <c r="P63" s="238">
        <v>0</v>
      </c>
      <c r="Q63" s="238">
        <v>0</v>
      </c>
      <c r="R63" s="238">
        <v>0</v>
      </c>
      <c r="S63" s="238">
        <v>0</v>
      </c>
      <c r="T63" s="238">
        <v>0</v>
      </c>
      <c r="U63" s="238">
        <v>200</v>
      </c>
      <c r="V63" s="238">
        <v>200</v>
      </c>
      <c r="W63" s="238">
        <v>300</v>
      </c>
      <c r="X63" s="238">
        <v>200</v>
      </c>
      <c r="Y63" s="238">
        <v>330</v>
      </c>
      <c r="Z63" s="238">
        <v>400</v>
      </c>
      <c r="AA63" s="238">
        <v>0</v>
      </c>
      <c r="AB63" s="238">
        <v>0</v>
      </c>
      <c r="AC63" s="238">
        <v>0</v>
      </c>
      <c r="AD63" s="238">
        <v>0</v>
      </c>
      <c r="AE63" s="238">
        <v>0</v>
      </c>
      <c r="AF63" s="238">
        <v>0</v>
      </c>
      <c r="AG63" s="238">
        <v>0</v>
      </c>
      <c r="AH63" s="341">
        <v>0</v>
      </c>
    </row>
    <row r="64" spans="1:34" hidden="1" outlineLevel="1" collapsed="1" x14ac:dyDescent="0.25">
      <c r="A64" s="151"/>
      <c r="B64" s="191"/>
      <c r="C64" s="192" t="s">
        <v>165</v>
      </c>
      <c r="D64" s="192"/>
      <c r="E64" s="205" t="b">
        <v>0</v>
      </c>
      <c r="F64" s="193" t="s">
        <v>87</v>
      </c>
      <c r="G64" s="187"/>
      <c r="H64" s="151"/>
    </row>
    <row r="65" spans="1:34" ht="15" hidden="1" customHeight="1" outlineLevel="2" x14ac:dyDescent="0.25">
      <c r="A65" s="151"/>
      <c r="B65" s="191"/>
      <c r="C65" s="192"/>
      <c r="D65" s="194" t="s">
        <v>3</v>
      </c>
      <c r="E65" s="206" t="s">
        <v>181</v>
      </c>
      <c r="F65" s="193" t="s">
        <v>185</v>
      </c>
      <c r="G65" s="187"/>
      <c r="H65" s="759" t="s">
        <v>177</v>
      </c>
      <c r="I65" s="189" t="str">
        <f t="shared" ref="I65:AH65" si="4">"Y"&amp;I66</f>
        <v>Y0</v>
      </c>
      <c r="J65" s="189" t="str">
        <f t="shared" si="4"/>
        <v>Y1</v>
      </c>
      <c r="K65" s="189" t="str">
        <f t="shared" si="4"/>
        <v>Y2</v>
      </c>
      <c r="L65" s="189" t="str">
        <f t="shared" si="4"/>
        <v>Y3</v>
      </c>
      <c r="M65" s="189" t="str">
        <f t="shared" si="4"/>
        <v>Y4</v>
      </c>
      <c r="N65" s="189" t="str">
        <f t="shared" si="4"/>
        <v>Y5</v>
      </c>
      <c r="O65" s="189" t="str">
        <f t="shared" si="4"/>
        <v>Y6</v>
      </c>
      <c r="P65" s="189" t="str">
        <f t="shared" si="4"/>
        <v>Y7</v>
      </c>
      <c r="Q65" s="189" t="str">
        <f t="shared" si="4"/>
        <v>Y8</v>
      </c>
      <c r="R65" s="189" t="str">
        <f t="shared" si="4"/>
        <v>Y9</v>
      </c>
      <c r="S65" s="189" t="str">
        <f t="shared" si="4"/>
        <v>Y10</v>
      </c>
      <c r="T65" s="189" t="str">
        <f t="shared" si="4"/>
        <v>Y11</v>
      </c>
      <c r="U65" s="189" t="str">
        <f t="shared" si="4"/>
        <v>Y12</v>
      </c>
      <c r="V65" s="189" t="str">
        <f t="shared" si="4"/>
        <v>Y13</v>
      </c>
      <c r="W65" s="189" t="str">
        <f t="shared" si="4"/>
        <v>Y14</v>
      </c>
      <c r="X65" s="189" t="str">
        <f t="shared" si="4"/>
        <v>Y15</v>
      </c>
      <c r="Y65" s="189" t="str">
        <f t="shared" si="4"/>
        <v>Y16</v>
      </c>
      <c r="Z65" s="189" t="str">
        <f t="shared" si="4"/>
        <v>Y17</v>
      </c>
      <c r="AA65" s="189" t="str">
        <f t="shared" si="4"/>
        <v>Y18</v>
      </c>
      <c r="AB65" s="189" t="str">
        <f t="shared" si="4"/>
        <v>Y19</v>
      </c>
      <c r="AC65" s="189" t="str">
        <f t="shared" si="4"/>
        <v>Y20</v>
      </c>
      <c r="AD65" s="189" t="str">
        <f t="shared" si="4"/>
        <v>Y21</v>
      </c>
      <c r="AE65" s="189" t="str">
        <f t="shared" si="4"/>
        <v>Y22</v>
      </c>
      <c r="AF65" s="189" t="str">
        <f t="shared" si="4"/>
        <v>Y23</v>
      </c>
      <c r="AG65" s="189" t="str">
        <f t="shared" si="4"/>
        <v>Y24</v>
      </c>
      <c r="AH65" s="190" t="str">
        <f t="shared" si="4"/>
        <v>Y25</v>
      </c>
    </row>
    <row r="66" spans="1:34" hidden="1" outlineLevel="2" x14ac:dyDescent="0.25">
      <c r="A66" s="151"/>
      <c r="B66" s="191"/>
      <c r="C66" s="192"/>
      <c r="D66" s="192" t="s">
        <v>369</v>
      </c>
      <c r="E66" s="207">
        <v>23</v>
      </c>
      <c r="F66" s="193" t="s">
        <v>97</v>
      </c>
      <c r="G66" s="187"/>
      <c r="H66" s="760"/>
      <c r="I66" s="174">
        <v>0</v>
      </c>
      <c r="J66" s="174">
        <v>1</v>
      </c>
      <c r="K66" s="174">
        <v>2</v>
      </c>
      <c r="L66" s="174">
        <v>3</v>
      </c>
      <c r="M66" s="174">
        <v>4</v>
      </c>
      <c r="N66" s="174">
        <v>5</v>
      </c>
      <c r="O66" s="174">
        <v>6</v>
      </c>
      <c r="P66" s="174">
        <v>7</v>
      </c>
      <c r="Q66" s="174">
        <v>8</v>
      </c>
      <c r="R66" s="174">
        <v>9</v>
      </c>
      <c r="S66" s="174">
        <v>10</v>
      </c>
      <c r="T66" s="174">
        <v>11</v>
      </c>
      <c r="U66" s="174">
        <v>12</v>
      </c>
      <c r="V66" s="174">
        <v>13</v>
      </c>
      <c r="W66" s="174">
        <v>14</v>
      </c>
      <c r="X66" s="174">
        <v>15</v>
      </c>
      <c r="Y66" s="174">
        <v>16</v>
      </c>
      <c r="Z66" s="174">
        <v>17</v>
      </c>
      <c r="AA66" s="174">
        <v>18</v>
      </c>
      <c r="AB66" s="174">
        <v>19</v>
      </c>
      <c r="AC66" s="174">
        <v>20</v>
      </c>
      <c r="AD66" s="174">
        <v>21</v>
      </c>
      <c r="AE66" s="174">
        <v>22</v>
      </c>
      <c r="AF66" s="174">
        <v>23</v>
      </c>
      <c r="AG66" s="174">
        <v>24</v>
      </c>
      <c r="AH66" s="176">
        <v>25</v>
      </c>
    </row>
    <row r="67" spans="1:34" hidden="1" outlineLevel="2" x14ac:dyDescent="0.25">
      <c r="A67" s="151"/>
      <c r="B67" s="191"/>
      <c r="C67" s="192"/>
      <c r="D67" s="192" t="s">
        <v>426</v>
      </c>
      <c r="E67" s="340" t="s">
        <v>368</v>
      </c>
      <c r="F67" s="195" t="s">
        <v>184</v>
      </c>
      <c r="G67" s="188"/>
      <c r="H67" s="760"/>
      <c r="I67" s="112">
        <f>IF($E$64=TRUE,I68,0)</f>
        <v>0</v>
      </c>
      <c r="J67" s="112">
        <f t="shared" ref="J67:AH67" si="5">IF($E$64=TRUE,J68,0)</f>
        <v>0</v>
      </c>
      <c r="K67" s="112">
        <f t="shared" si="5"/>
        <v>0</v>
      </c>
      <c r="L67" s="112">
        <f t="shared" si="5"/>
        <v>0</v>
      </c>
      <c r="M67" s="112">
        <f t="shared" si="5"/>
        <v>0</v>
      </c>
      <c r="N67" s="112">
        <f t="shared" si="5"/>
        <v>0</v>
      </c>
      <c r="O67" s="112">
        <f t="shared" si="5"/>
        <v>0</v>
      </c>
      <c r="P67" s="112">
        <f t="shared" si="5"/>
        <v>0</v>
      </c>
      <c r="Q67" s="112">
        <f t="shared" si="5"/>
        <v>0</v>
      </c>
      <c r="R67" s="112">
        <f t="shared" si="5"/>
        <v>0</v>
      </c>
      <c r="S67" s="112">
        <f t="shared" si="5"/>
        <v>0</v>
      </c>
      <c r="T67" s="112">
        <f t="shared" si="5"/>
        <v>0</v>
      </c>
      <c r="U67" s="112">
        <f t="shared" si="5"/>
        <v>0</v>
      </c>
      <c r="V67" s="112">
        <f t="shared" si="5"/>
        <v>0</v>
      </c>
      <c r="W67" s="112">
        <f t="shared" si="5"/>
        <v>0</v>
      </c>
      <c r="X67" s="112">
        <f t="shared" si="5"/>
        <v>0</v>
      </c>
      <c r="Y67" s="112">
        <f t="shared" si="5"/>
        <v>0</v>
      </c>
      <c r="Z67" s="112">
        <f t="shared" si="5"/>
        <v>0</v>
      </c>
      <c r="AA67" s="112">
        <f t="shared" si="5"/>
        <v>0</v>
      </c>
      <c r="AB67" s="112">
        <f t="shared" si="5"/>
        <v>0</v>
      </c>
      <c r="AC67" s="112">
        <f t="shared" si="5"/>
        <v>0</v>
      </c>
      <c r="AD67" s="112">
        <f t="shared" si="5"/>
        <v>0</v>
      </c>
      <c r="AE67" s="112">
        <f t="shared" si="5"/>
        <v>0</v>
      </c>
      <c r="AF67" s="112">
        <f t="shared" si="5"/>
        <v>0</v>
      </c>
      <c r="AG67" s="112">
        <f t="shared" si="5"/>
        <v>0</v>
      </c>
      <c r="AH67" s="113">
        <f t="shared" si="5"/>
        <v>0</v>
      </c>
    </row>
    <row r="68" spans="1:34" hidden="1" outlineLevel="2" x14ac:dyDescent="0.25">
      <c r="A68" s="151"/>
      <c r="B68" s="191"/>
      <c r="C68" s="192"/>
      <c r="D68" s="192"/>
      <c r="E68" s="208"/>
      <c r="F68" s="193"/>
      <c r="G68" s="187"/>
      <c r="H68" s="761"/>
      <c r="I68" s="238">
        <v>0</v>
      </c>
      <c r="J68" s="238">
        <v>0</v>
      </c>
      <c r="K68" s="238">
        <v>0</v>
      </c>
      <c r="L68" s="238">
        <v>0</v>
      </c>
      <c r="M68" s="238">
        <v>0</v>
      </c>
      <c r="N68" s="238">
        <v>0</v>
      </c>
      <c r="O68" s="238">
        <v>0</v>
      </c>
      <c r="P68" s="238">
        <v>0</v>
      </c>
      <c r="Q68" s="238">
        <v>0</v>
      </c>
      <c r="R68" s="238">
        <v>0</v>
      </c>
      <c r="S68" s="238">
        <v>0</v>
      </c>
      <c r="T68" s="238">
        <v>0</v>
      </c>
      <c r="U68" s="238">
        <v>0</v>
      </c>
      <c r="V68" s="238">
        <v>0</v>
      </c>
      <c r="W68" s="238">
        <v>0</v>
      </c>
      <c r="X68" s="238">
        <v>0</v>
      </c>
      <c r="Y68" s="238">
        <v>320</v>
      </c>
      <c r="Z68" s="238">
        <v>320</v>
      </c>
      <c r="AA68" s="238">
        <v>230</v>
      </c>
      <c r="AB68" s="238">
        <v>400</v>
      </c>
      <c r="AC68" s="238">
        <v>400</v>
      </c>
      <c r="AD68" s="238">
        <v>340</v>
      </c>
      <c r="AE68" s="238">
        <v>400</v>
      </c>
      <c r="AF68" s="238">
        <v>500</v>
      </c>
      <c r="AG68" s="238">
        <v>0</v>
      </c>
      <c r="AH68" s="341">
        <v>0</v>
      </c>
    </row>
    <row r="69" spans="1:34" hidden="1" outlineLevel="1" collapsed="1" x14ac:dyDescent="0.25">
      <c r="A69" s="151"/>
      <c r="B69" s="191"/>
      <c r="C69" s="192" t="s">
        <v>166</v>
      </c>
      <c r="D69" s="192"/>
      <c r="E69" s="205" t="b">
        <v>0</v>
      </c>
      <c r="F69" s="193" t="s">
        <v>87</v>
      </c>
      <c r="G69" s="187"/>
      <c r="H69" s="151"/>
    </row>
    <row r="70" spans="1:34" ht="15" hidden="1" customHeight="1" outlineLevel="2" x14ac:dyDescent="0.25">
      <c r="A70" s="151"/>
      <c r="B70" s="191"/>
      <c r="C70" s="192"/>
      <c r="D70" s="194" t="s">
        <v>3</v>
      </c>
      <c r="E70" s="206" t="s">
        <v>182</v>
      </c>
      <c r="F70" s="193" t="s">
        <v>185</v>
      </c>
      <c r="G70" s="187"/>
      <c r="H70" s="759" t="s">
        <v>178</v>
      </c>
      <c r="I70" s="189" t="str">
        <f t="shared" ref="I70:AH70" si="6">"Y"&amp;I71</f>
        <v>Y0</v>
      </c>
      <c r="J70" s="189" t="str">
        <f t="shared" si="6"/>
        <v>Y1</v>
      </c>
      <c r="K70" s="189" t="str">
        <f t="shared" si="6"/>
        <v>Y2</v>
      </c>
      <c r="L70" s="189" t="str">
        <f t="shared" si="6"/>
        <v>Y3</v>
      </c>
      <c r="M70" s="189" t="str">
        <f t="shared" si="6"/>
        <v>Y4</v>
      </c>
      <c r="N70" s="189" t="str">
        <f t="shared" si="6"/>
        <v>Y5</v>
      </c>
      <c r="O70" s="189" t="str">
        <f t="shared" si="6"/>
        <v>Y6</v>
      </c>
      <c r="P70" s="189" t="str">
        <f t="shared" si="6"/>
        <v>Y7</v>
      </c>
      <c r="Q70" s="189" t="str">
        <f t="shared" si="6"/>
        <v>Y8</v>
      </c>
      <c r="R70" s="189" t="str">
        <f t="shared" si="6"/>
        <v>Y9</v>
      </c>
      <c r="S70" s="189" t="str">
        <f t="shared" si="6"/>
        <v>Y10</v>
      </c>
      <c r="T70" s="189" t="str">
        <f t="shared" si="6"/>
        <v>Y11</v>
      </c>
      <c r="U70" s="189" t="str">
        <f t="shared" si="6"/>
        <v>Y12</v>
      </c>
      <c r="V70" s="189" t="str">
        <f t="shared" si="6"/>
        <v>Y13</v>
      </c>
      <c r="W70" s="189" t="str">
        <f t="shared" si="6"/>
        <v>Y14</v>
      </c>
      <c r="X70" s="189" t="str">
        <f t="shared" si="6"/>
        <v>Y15</v>
      </c>
      <c r="Y70" s="189" t="str">
        <f t="shared" si="6"/>
        <v>Y16</v>
      </c>
      <c r="Z70" s="189" t="str">
        <f t="shared" si="6"/>
        <v>Y17</v>
      </c>
      <c r="AA70" s="189" t="str">
        <f t="shared" si="6"/>
        <v>Y18</v>
      </c>
      <c r="AB70" s="189" t="str">
        <f t="shared" si="6"/>
        <v>Y19</v>
      </c>
      <c r="AC70" s="189" t="str">
        <f t="shared" si="6"/>
        <v>Y20</v>
      </c>
      <c r="AD70" s="189" t="str">
        <f t="shared" si="6"/>
        <v>Y21</v>
      </c>
      <c r="AE70" s="189" t="str">
        <f t="shared" si="6"/>
        <v>Y22</v>
      </c>
      <c r="AF70" s="189" t="str">
        <f t="shared" si="6"/>
        <v>Y23</v>
      </c>
      <c r="AG70" s="189" t="str">
        <f t="shared" si="6"/>
        <v>Y24</v>
      </c>
      <c r="AH70" s="190" t="str">
        <f t="shared" si="6"/>
        <v>Y25</v>
      </c>
    </row>
    <row r="71" spans="1:34" hidden="1" outlineLevel="2" x14ac:dyDescent="0.25">
      <c r="A71" s="151"/>
      <c r="B71" s="191"/>
      <c r="C71" s="192"/>
      <c r="D71" s="192" t="s">
        <v>369</v>
      </c>
      <c r="E71" s="207">
        <v>0</v>
      </c>
      <c r="F71" s="193" t="s">
        <v>97</v>
      </c>
      <c r="G71" s="187"/>
      <c r="H71" s="760"/>
      <c r="I71" s="174">
        <v>0</v>
      </c>
      <c r="J71" s="174">
        <v>1</v>
      </c>
      <c r="K71" s="174">
        <v>2</v>
      </c>
      <c r="L71" s="174">
        <v>3</v>
      </c>
      <c r="M71" s="174">
        <v>4</v>
      </c>
      <c r="N71" s="174">
        <v>5</v>
      </c>
      <c r="O71" s="174">
        <v>6</v>
      </c>
      <c r="P71" s="174">
        <v>7</v>
      </c>
      <c r="Q71" s="174">
        <v>8</v>
      </c>
      <c r="R71" s="174">
        <v>9</v>
      </c>
      <c r="S71" s="174">
        <v>10</v>
      </c>
      <c r="T71" s="174">
        <v>11</v>
      </c>
      <c r="U71" s="174">
        <v>12</v>
      </c>
      <c r="V71" s="174">
        <v>13</v>
      </c>
      <c r="W71" s="174">
        <v>14</v>
      </c>
      <c r="X71" s="174">
        <v>15</v>
      </c>
      <c r="Y71" s="174">
        <v>16</v>
      </c>
      <c r="Z71" s="174">
        <v>17</v>
      </c>
      <c r="AA71" s="174">
        <v>18</v>
      </c>
      <c r="AB71" s="174">
        <v>19</v>
      </c>
      <c r="AC71" s="174">
        <v>20</v>
      </c>
      <c r="AD71" s="174">
        <v>21</v>
      </c>
      <c r="AE71" s="174">
        <v>22</v>
      </c>
      <c r="AF71" s="174">
        <v>23</v>
      </c>
      <c r="AG71" s="174">
        <v>24</v>
      </c>
      <c r="AH71" s="176">
        <v>25</v>
      </c>
    </row>
    <row r="72" spans="1:34" hidden="1" outlineLevel="2" x14ac:dyDescent="0.25">
      <c r="A72" s="151"/>
      <c r="B72" s="191"/>
      <c r="C72" s="192"/>
      <c r="D72" s="192" t="s">
        <v>426</v>
      </c>
      <c r="E72" s="340" t="s">
        <v>368</v>
      </c>
      <c r="F72" s="195" t="s">
        <v>184</v>
      </c>
      <c r="G72" s="188"/>
      <c r="H72" s="760"/>
      <c r="I72" s="11">
        <f>IF($E$69=TRUE,I73,0)</f>
        <v>0</v>
      </c>
      <c r="J72" s="11">
        <f t="shared" ref="J72:AH72" si="7">IF($E$69=TRUE,J73,0)</f>
        <v>0</v>
      </c>
      <c r="K72" s="11">
        <f t="shared" si="7"/>
        <v>0</v>
      </c>
      <c r="L72" s="11">
        <f t="shared" si="7"/>
        <v>0</v>
      </c>
      <c r="M72" s="11">
        <f t="shared" si="7"/>
        <v>0</v>
      </c>
      <c r="N72" s="11">
        <f t="shared" si="7"/>
        <v>0</v>
      </c>
      <c r="O72" s="11">
        <f t="shared" si="7"/>
        <v>0</v>
      </c>
      <c r="P72" s="11">
        <f t="shared" si="7"/>
        <v>0</v>
      </c>
      <c r="Q72" s="11">
        <f t="shared" si="7"/>
        <v>0</v>
      </c>
      <c r="R72" s="11">
        <f t="shared" si="7"/>
        <v>0</v>
      </c>
      <c r="S72" s="11">
        <f t="shared" si="7"/>
        <v>0</v>
      </c>
      <c r="T72" s="11">
        <f t="shared" si="7"/>
        <v>0</v>
      </c>
      <c r="U72" s="11">
        <f t="shared" si="7"/>
        <v>0</v>
      </c>
      <c r="V72" s="11">
        <f t="shared" si="7"/>
        <v>0</v>
      </c>
      <c r="W72" s="11">
        <f t="shared" si="7"/>
        <v>0</v>
      </c>
      <c r="X72" s="11">
        <f t="shared" si="7"/>
        <v>0</v>
      </c>
      <c r="Y72" s="11">
        <f t="shared" si="7"/>
        <v>0</v>
      </c>
      <c r="Z72" s="11">
        <f t="shared" si="7"/>
        <v>0</v>
      </c>
      <c r="AA72" s="11">
        <f t="shared" si="7"/>
        <v>0</v>
      </c>
      <c r="AB72" s="11">
        <f t="shared" si="7"/>
        <v>0</v>
      </c>
      <c r="AC72" s="11">
        <f t="shared" si="7"/>
        <v>0</v>
      </c>
      <c r="AD72" s="11">
        <f t="shared" si="7"/>
        <v>0</v>
      </c>
      <c r="AE72" s="11">
        <f t="shared" si="7"/>
        <v>0</v>
      </c>
      <c r="AF72" s="11">
        <f t="shared" si="7"/>
        <v>0</v>
      </c>
      <c r="AG72" s="11">
        <f t="shared" si="7"/>
        <v>0</v>
      </c>
      <c r="AH72" s="20">
        <f t="shared" si="7"/>
        <v>0</v>
      </c>
    </row>
    <row r="73" spans="1:34" hidden="1" outlineLevel="2" x14ac:dyDescent="0.25">
      <c r="A73" s="151"/>
      <c r="B73" s="191"/>
      <c r="C73" s="192"/>
      <c r="D73" s="192"/>
      <c r="E73" s="208"/>
      <c r="F73" s="193"/>
      <c r="G73" s="187"/>
      <c r="H73" s="761"/>
      <c r="I73" s="27">
        <v>0</v>
      </c>
      <c r="J73" s="27">
        <v>0</v>
      </c>
      <c r="K73" s="27">
        <v>0</v>
      </c>
      <c r="L73" s="27">
        <v>10000</v>
      </c>
      <c r="M73" s="27">
        <v>10000</v>
      </c>
      <c r="N73" s="27">
        <v>10000</v>
      </c>
      <c r="O73" s="27">
        <v>10000</v>
      </c>
      <c r="P73" s="27">
        <v>10000</v>
      </c>
      <c r="Q73" s="27">
        <v>0</v>
      </c>
      <c r="R73" s="27">
        <v>0</v>
      </c>
      <c r="S73" s="27">
        <v>0</v>
      </c>
      <c r="T73" s="27">
        <v>0</v>
      </c>
      <c r="U73" s="27">
        <v>0</v>
      </c>
      <c r="V73" s="27">
        <v>0</v>
      </c>
      <c r="W73" s="27">
        <v>0</v>
      </c>
      <c r="X73" s="27">
        <v>0</v>
      </c>
      <c r="Y73" s="27">
        <v>0</v>
      </c>
      <c r="Z73" s="27">
        <v>0</v>
      </c>
      <c r="AA73" s="27">
        <v>0</v>
      </c>
      <c r="AB73" s="27">
        <v>0</v>
      </c>
      <c r="AC73" s="27">
        <v>0</v>
      </c>
      <c r="AD73" s="27">
        <v>0</v>
      </c>
      <c r="AE73" s="27">
        <v>0</v>
      </c>
      <c r="AF73" s="27">
        <v>0</v>
      </c>
      <c r="AG73" s="27">
        <v>0</v>
      </c>
      <c r="AH73" s="344">
        <v>0</v>
      </c>
    </row>
    <row r="74" spans="1:34" ht="14.25" hidden="1" customHeight="1" outlineLevel="1" collapsed="1" x14ac:dyDescent="0.25">
      <c r="A74" s="151"/>
      <c r="B74" s="191"/>
      <c r="C74" s="192" t="s">
        <v>167</v>
      </c>
      <c r="D74" s="192"/>
      <c r="E74" s="205" t="b">
        <v>0</v>
      </c>
      <c r="F74" s="193" t="s">
        <v>87</v>
      </c>
      <c r="G74" s="187"/>
      <c r="H74" s="151"/>
    </row>
    <row r="75" spans="1:34" ht="15" hidden="1" customHeight="1" outlineLevel="2" x14ac:dyDescent="0.25">
      <c r="A75" s="151"/>
      <c r="B75" s="191"/>
      <c r="C75" s="192"/>
      <c r="D75" s="194" t="s">
        <v>3</v>
      </c>
      <c r="E75" s="206" t="s">
        <v>183</v>
      </c>
      <c r="F75" s="193" t="s">
        <v>185</v>
      </c>
      <c r="G75" s="187"/>
      <c r="H75" s="759" t="s">
        <v>179</v>
      </c>
      <c r="I75" s="189" t="str">
        <f t="shared" ref="I75:AH75" si="8">"Y"&amp;I76</f>
        <v>Y0</v>
      </c>
      <c r="J75" s="189" t="str">
        <f t="shared" si="8"/>
        <v>Y1</v>
      </c>
      <c r="K75" s="189" t="str">
        <f t="shared" si="8"/>
        <v>Y2</v>
      </c>
      <c r="L75" s="189" t="str">
        <f t="shared" si="8"/>
        <v>Y3</v>
      </c>
      <c r="M75" s="189" t="str">
        <f t="shared" si="8"/>
        <v>Y4</v>
      </c>
      <c r="N75" s="189" t="str">
        <f t="shared" si="8"/>
        <v>Y5</v>
      </c>
      <c r="O75" s="189" t="str">
        <f t="shared" si="8"/>
        <v>Y6</v>
      </c>
      <c r="P75" s="189" t="str">
        <f t="shared" si="8"/>
        <v>Y7</v>
      </c>
      <c r="Q75" s="189" t="str">
        <f t="shared" si="8"/>
        <v>Y8</v>
      </c>
      <c r="R75" s="189" t="str">
        <f t="shared" si="8"/>
        <v>Y9</v>
      </c>
      <c r="S75" s="189" t="str">
        <f t="shared" si="8"/>
        <v>Y10</v>
      </c>
      <c r="T75" s="189" t="str">
        <f t="shared" si="8"/>
        <v>Y11</v>
      </c>
      <c r="U75" s="189" t="str">
        <f t="shared" si="8"/>
        <v>Y12</v>
      </c>
      <c r="V75" s="189" t="str">
        <f t="shared" si="8"/>
        <v>Y13</v>
      </c>
      <c r="W75" s="189" t="str">
        <f t="shared" si="8"/>
        <v>Y14</v>
      </c>
      <c r="X75" s="189" t="str">
        <f t="shared" si="8"/>
        <v>Y15</v>
      </c>
      <c r="Y75" s="189" t="str">
        <f t="shared" si="8"/>
        <v>Y16</v>
      </c>
      <c r="Z75" s="189" t="str">
        <f t="shared" si="8"/>
        <v>Y17</v>
      </c>
      <c r="AA75" s="189" t="str">
        <f t="shared" si="8"/>
        <v>Y18</v>
      </c>
      <c r="AB75" s="189" t="str">
        <f t="shared" si="8"/>
        <v>Y19</v>
      </c>
      <c r="AC75" s="189" t="str">
        <f t="shared" si="8"/>
        <v>Y20</v>
      </c>
      <c r="AD75" s="189" t="str">
        <f t="shared" si="8"/>
        <v>Y21</v>
      </c>
      <c r="AE75" s="189" t="str">
        <f t="shared" si="8"/>
        <v>Y22</v>
      </c>
      <c r="AF75" s="189" t="str">
        <f t="shared" si="8"/>
        <v>Y23</v>
      </c>
      <c r="AG75" s="189" t="str">
        <f t="shared" si="8"/>
        <v>Y24</v>
      </c>
      <c r="AH75" s="190" t="str">
        <f t="shared" si="8"/>
        <v>Y25</v>
      </c>
    </row>
    <row r="76" spans="1:34" hidden="1" outlineLevel="2" x14ac:dyDescent="0.25">
      <c r="A76" s="151"/>
      <c r="B76" s="191"/>
      <c r="C76" s="192"/>
      <c r="D76" s="192" t="s">
        <v>369</v>
      </c>
      <c r="E76" s="207">
        <v>0</v>
      </c>
      <c r="F76" s="193" t="s">
        <v>97</v>
      </c>
      <c r="G76" s="187"/>
      <c r="H76" s="760"/>
      <c r="I76" s="174">
        <v>0</v>
      </c>
      <c r="J76" s="174">
        <v>1</v>
      </c>
      <c r="K76" s="174">
        <v>2</v>
      </c>
      <c r="L76" s="174">
        <v>3</v>
      </c>
      <c r="M76" s="174">
        <v>4</v>
      </c>
      <c r="N76" s="174">
        <v>5</v>
      </c>
      <c r="O76" s="174">
        <v>6</v>
      </c>
      <c r="P76" s="174">
        <v>7</v>
      </c>
      <c r="Q76" s="174">
        <v>8</v>
      </c>
      <c r="R76" s="174">
        <v>9</v>
      </c>
      <c r="S76" s="174">
        <v>10</v>
      </c>
      <c r="T76" s="174">
        <v>11</v>
      </c>
      <c r="U76" s="174">
        <v>12</v>
      </c>
      <c r="V76" s="174">
        <v>13</v>
      </c>
      <c r="W76" s="174">
        <v>14</v>
      </c>
      <c r="X76" s="174">
        <v>15</v>
      </c>
      <c r="Y76" s="174">
        <v>16</v>
      </c>
      <c r="Z76" s="174">
        <v>17</v>
      </c>
      <c r="AA76" s="174">
        <v>18</v>
      </c>
      <c r="AB76" s="174">
        <v>19</v>
      </c>
      <c r="AC76" s="174">
        <v>20</v>
      </c>
      <c r="AD76" s="174">
        <v>21</v>
      </c>
      <c r="AE76" s="174">
        <v>22</v>
      </c>
      <c r="AF76" s="174">
        <v>23</v>
      </c>
      <c r="AG76" s="174">
        <v>24</v>
      </c>
      <c r="AH76" s="176">
        <v>25</v>
      </c>
    </row>
    <row r="77" spans="1:34" hidden="1" outlineLevel="2" x14ac:dyDescent="0.25">
      <c r="A77" s="151"/>
      <c r="B77" s="191"/>
      <c r="C77" s="192"/>
      <c r="D77" s="192" t="s">
        <v>426</v>
      </c>
      <c r="E77" s="340" t="s">
        <v>368</v>
      </c>
      <c r="F77" s="195" t="s">
        <v>184</v>
      </c>
      <c r="G77" s="188"/>
      <c r="H77" s="760"/>
      <c r="I77" s="11">
        <f>IF($E$74=TRUE,I78,0)</f>
        <v>0</v>
      </c>
      <c r="J77" s="11">
        <f t="shared" ref="J77:AH77" si="9">IF($E$74=TRUE,J78,0)</f>
        <v>0</v>
      </c>
      <c r="K77" s="11">
        <f t="shared" si="9"/>
        <v>0</v>
      </c>
      <c r="L77" s="11">
        <f t="shared" si="9"/>
        <v>0</v>
      </c>
      <c r="M77" s="11">
        <f t="shared" si="9"/>
        <v>0</v>
      </c>
      <c r="N77" s="11">
        <f t="shared" si="9"/>
        <v>0</v>
      </c>
      <c r="O77" s="11">
        <f t="shared" si="9"/>
        <v>0</v>
      </c>
      <c r="P77" s="11">
        <f t="shared" si="9"/>
        <v>0</v>
      </c>
      <c r="Q77" s="11">
        <f t="shared" si="9"/>
        <v>0</v>
      </c>
      <c r="R77" s="11">
        <f t="shared" si="9"/>
        <v>0</v>
      </c>
      <c r="S77" s="11">
        <f t="shared" si="9"/>
        <v>0</v>
      </c>
      <c r="T77" s="11">
        <f t="shared" si="9"/>
        <v>0</v>
      </c>
      <c r="U77" s="11">
        <f t="shared" si="9"/>
        <v>0</v>
      </c>
      <c r="V77" s="11">
        <f t="shared" si="9"/>
        <v>0</v>
      </c>
      <c r="W77" s="11">
        <f t="shared" si="9"/>
        <v>0</v>
      </c>
      <c r="X77" s="11">
        <f t="shared" si="9"/>
        <v>0</v>
      </c>
      <c r="Y77" s="11">
        <f t="shared" si="9"/>
        <v>0</v>
      </c>
      <c r="Z77" s="11">
        <f t="shared" si="9"/>
        <v>0</v>
      </c>
      <c r="AA77" s="11">
        <f t="shared" si="9"/>
        <v>0</v>
      </c>
      <c r="AB77" s="11">
        <f t="shared" si="9"/>
        <v>0</v>
      </c>
      <c r="AC77" s="11">
        <f t="shared" si="9"/>
        <v>0</v>
      </c>
      <c r="AD77" s="11">
        <f t="shared" si="9"/>
        <v>0</v>
      </c>
      <c r="AE77" s="11">
        <f t="shared" si="9"/>
        <v>0</v>
      </c>
      <c r="AF77" s="11">
        <f t="shared" si="9"/>
        <v>0</v>
      </c>
      <c r="AG77" s="11">
        <f t="shared" si="9"/>
        <v>0</v>
      </c>
      <c r="AH77" s="20">
        <f t="shared" si="9"/>
        <v>0</v>
      </c>
    </row>
    <row r="78" spans="1:34" hidden="1" outlineLevel="2" x14ac:dyDescent="0.25">
      <c r="A78" s="151"/>
      <c r="B78" s="191"/>
      <c r="C78" s="192"/>
      <c r="D78" s="192"/>
      <c r="E78" s="208"/>
      <c r="F78" s="193"/>
      <c r="G78" s="187"/>
      <c r="H78" s="761"/>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344">
        <v>0</v>
      </c>
    </row>
    <row r="79" spans="1:34" hidden="1" outlineLevel="1" collapsed="1" x14ac:dyDescent="0.25">
      <c r="A79" s="151"/>
      <c r="B79" s="196"/>
      <c r="C79" s="197"/>
      <c r="D79" s="197"/>
      <c r="E79" s="209"/>
      <c r="F79" s="198"/>
      <c r="G79" s="187"/>
      <c r="H79" s="151"/>
    </row>
    <row r="80" spans="1:34" s="58" customFormat="1" collapsed="1" x14ac:dyDescent="0.25">
      <c r="A80" s="152"/>
      <c r="B80" s="756" t="s">
        <v>442</v>
      </c>
      <c r="C80" s="757"/>
      <c r="D80" s="757"/>
      <c r="E80" s="757"/>
      <c r="F80" s="758"/>
      <c r="G80" s="182"/>
      <c r="H80" s="152"/>
    </row>
    <row r="81" spans="1:8" outlineLevel="1" x14ac:dyDescent="0.25">
      <c r="A81" s="151"/>
      <c r="B81" s="708" t="s">
        <v>3</v>
      </c>
      <c r="C81" s="709"/>
      <c r="D81" s="709"/>
      <c r="E81" s="103" t="s">
        <v>5</v>
      </c>
      <c r="F81" s="28" t="s">
        <v>4</v>
      </c>
      <c r="G81" s="185"/>
      <c r="H81" s="151"/>
    </row>
    <row r="82" spans="1:8" outlineLevel="1" x14ac:dyDescent="0.25">
      <c r="B82" s="104" t="s">
        <v>147</v>
      </c>
      <c r="C82" s="25"/>
      <c r="D82" s="25"/>
      <c r="E82" s="105" t="b">
        <v>1</v>
      </c>
      <c r="F82" s="106" t="s">
        <v>87</v>
      </c>
      <c r="G82" s="186"/>
    </row>
    <row r="83" spans="1:8" outlineLevel="1" x14ac:dyDescent="0.25">
      <c r="B83" s="104"/>
      <c r="C83" s="25" t="s">
        <v>480</v>
      </c>
      <c r="D83" s="25"/>
      <c r="E83" s="145">
        <v>0</v>
      </c>
      <c r="F83" s="106" t="s">
        <v>581</v>
      </c>
      <c r="G83" s="186"/>
    </row>
    <row r="84" spans="1:8" outlineLevel="1" x14ac:dyDescent="0.25">
      <c r="B84" s="10"/>
      <c r="C84" s="11" t="s">
        <v>472</v>
      </c>
      <c r="D84" s="11"/>
      <c r="E84" s="145">
        <v>1</v>
      </c>
      <c r="F84" s="59" t="s">
        <v>31</v>
      </c>
      <c r="G84" s="183"/>
    </row>
    <row r="85" spans="1:8" outlineLevel="1" x14ac:dyDescent="0.25">
      <c r="B85" s="10"/>
      <c r="C85" s="11"/>
      <c r="D85" s="11"/>
      <c r="E85" s="348"/>
      <c r="F85" s="59"/>
      <c r="G85" s="183"/>
    </row>
    <row r="86" spans="1:8" outlineLevel="1" x14ac:dyDescent="0.25">
      <c r="B86" s="104" t="s">
        <v>148</v>
      </c>
      <c r="C86" s="104"/>
      <c r="D86" s="104"/>
      <c r="E86" s="105" t="b">
        <v>0</v>
      </c>
      <c r="F86" s="59" t="s">
        <v>87</v>
      </c>
      <c r="G86" s="183"/>
    </row>
    <row r="87" spans="1:8" outlineLevel="2" x14ac:dyDescent="0.25">
      <c r="B87" s="104"/>
      <c r="C87" s="11" t="s">
        <v>149</v>
      </c>
      <c r="D87" s="104"/>
      <c r="E87" s="166">
        <v>0.1215</v>
      </c>
      <c r="F87" s="59" t="s">
        <v>186</v>
      </c>
      <c r="G87" s="183"/>
    </row>
    <row r="88" spans="1:8" outlineLevel="2" x14ac:dyDescent="0.25">
      <c r="B88" s="104"/>
      <c r="C88" s="11" t="s">
        <v>150</v>
      </c>
      <c r="D88" s="104"/>
      <c r="E88" s="166">
        <v>0.10150000000000001</v>
      </c>
      <c r="F88" s="59" t="s">
        <v>186</v>
      </c>
      <c r="G88" s="183"/>
    </row>
    <row r="89" spans="1:8" outlineLevel="1" x14ac:dyDescent="0.25">
      <c r="B89" s="26"/>
      <c r="C89" s="29"/>
      <c r="D89" s="29"/>
      <c r="E89" s="29"/>
      <c r="F89" s="78"/>
      <c r="G89" s="183"/>
    </row>
  </sheetData>
  <mergeCells count="14">
    <mergeCell ref="H55:H58"/>
    <mergeCell ref="H75:H78"/>
    <mergeCell ref="B2:F2"/>
    <mergeCell ref="B3:F3"/>
    <mergeCell ref="B4:D4"/>
    <mergeCell ref="B51:F51"/>
    <mergeCell ref="B52:D52"/>
    <mergeCell ref="B32:F32"/>
    <mergeCell ref="B33:D33"/>
    <mergeCell ref="B80:F80"/>
    <mergeCell ref="B81:D81"/>
    <mergeCell ref="H70:H73"/>
    <mergeCell ref="H65:H68"/>
    <mergeCell ref="H60:H63"/>
  </mergeCells>
  <dataValidations count="2">
    <dataValidation allowBlank="1" showInputMessage="1" showErrorMessage="1" promptTitle="Capacity in Y0" prompt="The maximum capacity in year zero, the most recent year with available data before the implementation of the EE program" sqref="E83"/>
    <dataValidation type="decimal" allowBlank="1" showInputMessage="1" showErrorMessage="1" sqref="E41">
      <formula1>0</formula1>
      <formula2>1</formula2>
    </dataValidation>
  </dataValidations>
  <pageMargins left="0.7" right="0.7" top="0.75" bottom="0.75" header="0.3" footer="0.3"/>
  <pageSetup orientation="portrait"/>
  <headerFooter alignWithMargins="0"/>
  <extLst>
    <ext xmlns:x14="http://schemas.microsoft.com/office/spreadsheetml/2009/9/main" uri="{78C0D931-6437-407d-A8EE-F0AAD7539E65}">
      <x14:conditionalFormattings>
        <x14:conditionalFormatting xmlns:xm="http://schemas.microsoft.com/office/excel/2006/main">
          <x14:cfRule type="expression" priority="1" id="{426AAC86-5016-3B4B-A3D4-131DB5CEB016}">
            <xm:f>'Customer Sector'!$F$40</xm:f>
            <x14:dxf>
              <font>
                <strike val="0"/>
                <color theme="5"/>
              </font>
            </x14:dxf>
          </x14:cfRule>
          <xm:sqref>E13:E14</xm:sqref>
        </x14:conditionalFormatting>
      </x14:conditionalFormattings>
    </ext>
    <ext xmlns:x14="http://schemas.microsoft.com/office/spreadsheetml/2009/9/main" uri="{CCE6A557-97BC-4b89-ADB6-D9C93CAAB3DF}">
      <x14:dataValidations xmlns:xm="http://schemas.microsoft.com/office/excel/2006/main" count="5">
        <x14:dataValidation type="list" showInputMessage="1" showErrorMessage="1" errorTitle="Error" error="Please select a valid CBA test from the list provided">
          <x14:formula1>
            <xm:f>'Utility Calc'!$E$80:$E$84</xm:f>
          </x14:formula1>
          <xm:sqref>E35</xm:sqref>
        </x14:dataValidation>
        <x14:dataValidation type="list" allowBlank="1" showInputMessage="1" showErrorMessage="1">
          <x14:formula1>
            <xm:f>'Utility Calc'!$E$80:$E$84</xm:f>
          </x14:formula1>
          <xm:sqref>E40</xm:sqref>
        </x14:dataValidation>
        <x14:dataValidation type="list" allowBlank="1" showErrorMessage="1" errorTitle="Error" error="Please select either TRUE or FALSE">
          <x14:formula1>
            <xm:f>'Utility Calc'!$B$2:$B$3</xm:f>
          </x14:formula1>
          <xm:sqref>E34</xm:sqref>
        </x14:dataValidation>
        <x14:dataValidation type="list" allowBlank="1" showInputMessage="1" showErrorMessage="1">
          <x14:formula1>
            <xm:f>'Utility Calc'!$B$2:$B$3</xm:f>
          </x14:formula1>
          <xm:sqref>E47 E39 E42</xm:sqref>
        </x14:dataValidation>
        <x14:dataValidation type="list" allowBlank="1" showInputMessage="1" showErrorMessage="1">
          <x14:formula1>
            <xm:f>'Utility Calc'!$E$80:$E$84</xm:f>
          </x14:formula1>
          <xm:sqref>E43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B2:AG170"/>
  <sheetViews>
    <sheetView zoomScale="70" zoomScaleNormal="70" zoomScalePageLayoutView="70" workbookViewId="0"/>
  </sheetViews>
  <sheetFormatPr defaultColWidth="8.875" defaultRowHeight="15.75" x14ac:dyDescent="0.25"/>
  <cols>
    <col min="1" max="1" width="2.5" customWidth="1"/>
    <col min="2" max="4" width="1.875" customWidth="1"/>
    <col min="5" max="5" width="49.875" customWidth="1"/>
    <col min="6" max="6" width="8.625" customWidth="1"/>
    <col min="7" max="32" width="18.5" customWidth="1"/>
  </cols>
  <sheetData>
    <row r="2" spans="2:32" x14ac:dyDescent="0.25">
      <c r="B2" t="b">
        <v>1</v>
      </c>
      <c r="C2" s="767" t="s">
        <v>207</v>
      </c>
      <c r="D2" s="768"/>
      <c r="E2" s="768"/>
      <c r="F2" s="768"/>
      <c r="G2" s="768"/>
      <c r="H2" s="768"/>
      <c r="I2" s="768"/>
      <c r="J2" s="768"/>
      <c r="K2" s="768"/>
      <c r="L2" s="768"/>
      <c r="M2" s="768"/>
      <c r="N2" s="768"/>
      <c r="O2" s="768"/>
      <c r="P2" s="768"/>
      <c r="Q2" s="769"/>
    </row>
    <row r="3" spans="2:32" x14ac:dyDescent="0.25">
      <c r="B3" t="b">
        <v>0</v>
      </c>
      <c r="C3" s="773" t="s">
        <v>3</v>
      </c>
      <c r="D3" s="774"/>
      <c r="E3" s="774"/>
      <c r="F3" s="774"/>
      <c r="G3" s="168" t="s">
        <v>24</v>
      </c>
      <c r="H3" s="168" t="s">
        <v>0</v>
      </c>
      <c r="I3" s="168" t="s">
        <v>1</v>
      </c>
      <c r="J3" s="168" t="s">
        <v>9</v>
      </c>
      <c r="K3" s="168" t="s">
        <v>10</v>
      </c>
      <c r="L3" s="168" t="s">
        <v>11</v>
      </c>
      <c r="M3" s="168" t="s">
        <v>12</v>
      </c>
      <c r="N3" s="168" t="s">
        <v>13</v>
      </c>
      <c r="O3" s="168" t="s">
        <v>14</v>
      </c>
      <c r="P3" s="168" t="s">
        <v>15</v>
      </c>
      <c r="Q3" s="168" t="s">
        <v>16</v>
      </c>
      <c r="R3" s="168" t="s">
        <v>39</v>
      </c>
      <c r="S3" s="168" t="s">
        <v>41</v>
      </c>
      <c r="T3" s="168" t="s">
        <v>42</v>
      </c>
      <c r="U3" s="168" t="s">
        <v>43</v>
      </c>
      <c r="V3" s="168" t="s">
        <v>44</v>
      </c>
      <c r="W3" s="168" t="s">
        <v>45</v>
      </c>
      <c r="X3" s="168" t="s">
        <v>46</v>
      </c>
      <c r="Y3" s="168" t="s">
        <v>47</v>
      </c>
      <c r="Z3" s="168" t="s">
        <v>48</v>
      </c>
      <c r="AA3" s="168" t="s">
        <v>49</v>
      </c>
      <c r="AB3" s="168" t="s">
        <v>50</v>
      </c>
      <c r="AC3" s="168" t="s">
        <v>51</v>
      </c>
      <c r="AD3" s="168" t="s">
        <v>52</v>
      </c>
      <c r="AE3" s="168" t="s">
        <v>53</v>
      </c>
      <c r="AF3" s="168" t="s">
        <v>54</v>
      </c>
    </row>
    <row r="4" spans="2:32" x14ac:dyDescent="0.25">
      <c r="C4" s="775"/>
      <c r="D4" s="776"/>
      <c r="E4" s="776"/>
      <c r="F4" s="776"/>
      <c r="G4" s="5">
        <v>0</v>
      </c>
      <c r="H4" s="5">
        <v>1</v>
      </c>
      <c r="I4" s="5">
        <v>2</v>
      </c>
      <c r="J4" s="5">
        <v>3</v>
      </c>
      <c r="K4" s="5">
        <v>4</v>
      </c>
      <c r="L4" s="5">
        <v>5</v>
      </c>
      <c r="M4" s="5">
        <v>6</v>
      </c>
      <c r="N4" s="5">
        <v>7</v>
      </c>
      <c r="O4" s="5">
        <v>8</v>
      </c>
      <c r="P4" s="5">
        <v>9</v>
      </c>
      <c r="Q4" s="5">
        <v>10</v>
      </c>
      <c r="R4" s="5">
        <v>11</v>
      </c>
      <c r="S4" s="5">
        <v>12</v>
      </c>
      <c r="T4" s="5">
        <v>13</v>
      </c>
      <c r="U4" s="5">
        <v>14</v>
      </c>
      <c r="V4" s="5">
        <v>15</v>
      </c>
      <c r="W4" s="5">
        <v>16</v>
      </c>
      <c r="X4" s="5">
        <v>17</v>
      </c>
      <c r="Y4" s="5">
        <v>18</v>
      </c>
      <c r="Z4" s="5">
        <v>19</v>
      </c>
      <c r="AA4" s="5">
        <v>20</v>
      </c>
      <c r="AB4" s="5">
        <v>21</v>
      </c>
      <c r="AC4" s="5">
        <v>22</v>
      </c>
      <c r="AD4" s="5">
        <v>23</v>
      </c>
      <c r="AE4" s="5">
        <v>24</v>
      </c>
      <c r="AF4" s="5">
        <v>25</v>
      </c>
    </row>
    <row r="5" spans="2:32" x14ac:dyDescent="0.25">
      <c r="C5" s="781" t="s">
        <v>2</v>
      </c>
      <c r="D5" s="782"/>
      <c r="E5" s="782"/>
      <c r="F5" s="782"/>
      <c r="G5" s="32"/>
      <c r="H5" s="32"/>
      <c r="I5" s="32"/>
      <c r="J5" s="32"/>
      <c r="K5" s="32"/>
      <c r="L5" s="32"/>
      <c r="M5" s="32"/>
      <c r="N5" s="32"/>
      <c r="O5" s="32"/>
      <c r="P5" s="32"/>
      <c r="Q5" s="32"/>
      <c r="R5" s="32"/>
      <c r="S5" s="32"/>
      <c r="T5" s="32"/>
      <c r="U5" s="32"/>
      <c r="V5" s="32"/>
      <c r="W5" s="32"/>
      <c r="X5" s="32"/>
      <c r="Y5" s="32"/>
      <c r="Z5" s="32"/>
      <c r="AA5" s="32"/>
      <c r="AB5" s="32"/>
      <c r="AC5" s="32"/>
      <c r="AD5" s="32"/>
      <c r="AE5" s="32"/>
      <c r="AF5" s="77"/>
    </row>
    <row r="6" spans="2:32" x14ac:dyDescent="0.25">
      <c r="C6" s="317" t="s">
        <v>321</v>
      </c>
      <c r="D6" s="281"/>
      <c r="E6" s="281"/>
      <c r="F6" s="281"/>
      <c r="G6" s="5"/>
      <c r="H6" s="5"/>
      <c r="I6" s="5"/>
      <c r="J6" s="5"/>
      <c r="K6" s="5"/>
      <c r="L6" s="5"/>
      <c r="M6" s="5"/>
      <c r="N6" s="5"/>
      <c r="O6" s="5"/>
      <c r="P6" s="5"/>
      <c r="Q6" s="5"/>
      <c r="R6" s="5"/>
      <c r="S6" s="5"/>
      <c r="T6" s="5"/>
      <c r="U6" s="5"/>
      <c r="V6" s="5"/>
      <c r="W6" s="5"/>
      <c r="X6" s="5"/>
      <c r="Y6" s="5"/>
      <c r="Z6" s="5"/>
      <c r="AA6" s="5"/>
      <c r="AB6" s="5"/>
      <c r="AC6" s="5"/>
      <c r="AD6" s="5"/>
      <c r="AE6" s="5"/>
      <c r="AF6" s="5"/>
    </row>
    <row r="7" spans="2:32" x14ac:dyDescent="0.25">
      <c r="C7" s="2"/>
      <c r="D7" s="9" t="s">
        <v>25</v>
      </c>
      <c r="E7" s="9"/>
      <c r="F7" s="17" t="s">
        <v>6</v>
      </c>
      <c r="G7" s="39">
        <f>'Customer Calc'!G57</f>
        <v>25700000000</v>
      </c>
      <c r="H7" s="39">
        <f>'Customer Calc'!H57</f>
        <v>26059800000</v>
      </c>
      <c r="I7" s="39">
        <f>'Customer Calc'!I57</f>
        <v>26424637200</v>
      </c>
      <c r="J7" s="39">
        <f>'Customer Calc'!J57</f>
        <v>26794582120.799999</v>
      </c>
      <c r="K7" s="39">
        <f>'Customer Calc'!K57</f>
        <v>27169706270.491199</v>
      </c>
      <c r="L7" s="39">
        <f>'Customer Calc'!L57</f>
        <v>27550082158.278076</v>
      </c>
      <c r="M7" s="39">
        <f>'Customer Calc'!M57</f>
        <v>27935783308.493969</v>
      </c>
      <c r="N7" s="39">
        <f>'Customer Calc'!N57</f>
        <v>28326884274.812885</v>
      </c>
      <c r="O7" s="39">
        <f>'Customer Calc'!O57</f>
        <v>28723460654.660267</v>
      </c>
      <c r="P7" s="39">
        <f>'Customer Calc'!P57</f>
        <v>29125589103.825512</v>
      </c>
      <c r="Q7" s="39">
        <f>'Customer Calc'!Q57</f>
        <v>29533347351.279068</v>
      </c>
      <c r="R7" s="39">
        <f>'Customer Calc'!R57</f>
        <v>29946814214.196976</v>
      </c>
      <c r="S7" s="39">
        <f>'Customer Calc'!S57</f>
        <v>30366069613.195732</v>
      </c>
      <c r="T7" s="39">
        <f>'Customer Calc'!T57</f>
        <v>30791194587.780472</v>
      </c>
      <c r="U7" s="39">
        <f>'Customer Calc'!U57</f>
        <v>31222271312.009399</v>
      </c>
      <c r="V7" s="39">
        <f>'Customer Calc'!V57</f>
        <v>31659383110.377533</v>
      </c>
      <c r="W7" s="39">
        <f>'Customer Calc'!W57</f>
        <v>32102614473.922817</v>
      </c>
      <c r="X7" s="39">
        <f>'Customer Calc'!X57</f>
        <v>32552051076.557735</v>
      </c>
      <c r="Y7" s="39">
        <f>'Customer Calc'!Y57</f>
        <v>33007779791.629543</v>
      </c>
      <c r="Z7" s="39">
        <f>'Customer Calc'!Z57</f>
        <v>33469888708.712357</v>
      </c>
      <c r="AA7" s="39">
        <f>'Customer Calc'!AA57</f>
        <v>33938467150.634331</v>
      </c>
      <c r="AB7" s="39">
        <f>'Customer Calc'!AB57</f>
        <v>34413605690.74321</v>
      </c>
      <c r="AC7" s="39">
        <f>'Customer Calc'!AC57</f>
        <v>34895396170.413612</v>
      </c>
      <c r="AD7" s="39">
        <f>'Customer Calc'!AD57</f>
        <v>35383931716.7994</v>
      </c>
      <c r="AE7" s="39">
        <f>'Customer Calc'!AE57</f>
        <v>35879306760.834595</v>
      </c>
      <c r="AF7" s="40">
        <f>'Customer Calc'!AF57</f>
        <v>36381617055.486282</v>
      </c>
    </row>
    <row r="8" spans="2:32" x14ac:dyDescent="0.25">
      <c r="C8" s="2"/>
      <c r="D8" s="9"/>
      <c r="E8" s="9" t="s">
        <v>271</v>
      </c>
      <c r="F8" s="17" t="s">
        <v>19</v>
      </c>
      <c r="G8" s="39">
        <f>'Customer Calc'!G136</f>
        <v>1701598173.5159817</v>
      </c>
      <c r="H8" s="39">
        <f>'Customer Calc'!H136</f>
        <v>1725420547.9452055</v>
      </c>
      <c r="I8" s="39">
        <f>'Customer Calc'!I136</f>
        <v>1749576435.6164384</v>
      </c>
      <c r="J8" s="39">
        <f>'Customer Calc'!J136</f>
        <v>1774070505.7150686</v>
      </c>
      <c r="K8" s="39">
        <f>'Customer Calc'!K136</f>
        <v>1798907492.7950795</v>
      </c>
      <c r="L8" s="39">
        <f>'Customer Calc'!L136</f>
        <v>1824092197.6942105</v>
      </c>
      <c r="M8" s="39">
        <f>'Customer Calc'!M136</f>
        <v>1849629488.4619296</v>
      </c>
      <c r="N8" s="39">
        <f>'Customer Calc'!N136</f>
        <v>1875524301.3003967</v>
      </c>
      <c r="O8" s="39">
        <f>'Customer Calc'!O136</f>
        <v>1901781641.5186024</v>
      </c>
      <c r="P8" s="39">
        <f>'Customer Calc'!P136</f>
        <v>1928406584.4998629</v>
      </c>
      <c r="Q8" s="39">
        <f>'Customer Calc'!Q136</f>
        <v>1955404276.6828611</v>
      </c>
      <c r="R8" s="39">
        <f>'Customer Calc'!R136</f>
        <v>1982779936.5564213</v>
      </c>
      <c r="S8" s="39">
        <f>'Customer Calc'!S136</f>
        <v>2010538855.6682112</v>
      </c>
      <c r="T8" s="39">
        <f>'Customer Calc'!T136</f>
        <v>2038686399.6475663</v>
      </c>
      <c r="U8" s="39">
        <f>'Customer Calc'!U136</f>
        <v>2067228009.2426324</v>
      </c>
      <c r="V8" s="39">
        <f>'Customer Calc'!V136</f>
        <v>2096169201.3720293</v>
      </c>
      <c r="W8" s="39">
        <f>'Customer Calc'!W136</f>
        <v>2125515570.1912377</v>
      </c>
      <c r="X8" s="39">
        <f>'Customer Calc'!X136</f>
        <v>2155272788.1739149</v>
      </c>
      <c r="Y8" s="39">
        <f>'Customer Calc'!Y136</f>
        <v>2185446607.2083497</v>
      </c>
      <c r="Z8" s="39">
        <f>'Customer Calc'!Z136</f>
        <v>2216042859.7092667</v>
      </c>
      <c r="AA8" s="39">
        <f>'Customer Calc'!AA136</f>
        <v>2247067459.7451963</v>
      </c>
      <c r="AB8" s="39">
        <f>'Customer Calc'!AB136</f>
        <v>2278526404.1816292</v>
      </c>
      <c r="AC8" s="39">
        <f>'Customer Calc'!AC136</f>
        <v>2310425773.8401718</v>
      </c>
      <c r="AD8" s="39">
        <f>'Customer Calc'!AD136</f>
        <v>2342771734.6739345</v>
      </c>
      <c r="AE8" s="39">
        <f>'Customer Calc'!AE136</f>
        <v>2375570538.9593697</v>
      </c>
      <c r="AF8" s="39">
        <f>'Customer Calc'!AF136</f>
        <v>2408828526.5048008</v>
      </c>
    </row>
    <row r="9" spans="2:32" x14ac:dyDescent="0.25">
      <c r="C9" s="2"/>
      <c r="D9" s="9"/>
      <c r="E9" s="9" t="s">
        <v>272</v>
      </c>
      <c r="F9" s="17" t="s">
        <v>19</v>
      </c>
      <c r="G9" s="39">
        <f>'Customer Calc'!G137</f>
        <v>23998401826.484016</v>
      </c>
      <c r="H9" s="39">
        <f>'Customer Calc'!H137</f>
        <v>24334379452.054794</v>
      </c>
      <c r="I9" s="39">
        <f>'Customer Calc'!I137</f>
        <v>24675060764.38356</v>
      </c>
      <c r="J9" s="39">
        <f>'Customer Calc'!J137</f>
        <v>25020511615.08493</v>
      </c>
      <c r="K9" s="39">
        <f>'Customer Calc'!K137</f>
        <v>25370798777.696121</v>
      </c>
      <c r="L9" s="39">
        <f>'Customer Calc'!L137</f>
        <v>25725989960.583866</v>
      </c>
      <c r="M9" s="39">
        <f>'Customer Calc'!M137</f>
        <v>26086153820.03204</v>
      </c>
      <c r="N9" s="39">
        <f>'Customer Calc'!N137</f>
        <v>26451359973.512489</v>
      </c>
      <c r="O9" s="39">
        <f>'Customer Calc'!O137</f>
        <v>26821679013.141663</v>
      </c>
      <c r="P9" s="39">
        <f>'Customer Calc'!P137</f>
        <v>27197182519.325645</v>
      </c>
      <c r="Q9" s="39">
        <f>'Customer Calc'!Q137</f>
        <v>27577943074.596207</v>
      </c>
      <c r="R9" s="39">
        <f>'Customer Calc'!R137</f>
        <v>27964034277.640553</v>
      </c>
      <c r="S9" s="39">
        <f>'Customer Calc'!S137</f>
        <v>28355530757.527519</v>
      </c>
      <c r="T9" s="39">
        <f>'Customer Calc'!T137</f>
        <v>28752508188.132904</v>
      </c>
      <c r="U9" s="39">
        <f>'Customer Calc'!U137</f>
        <v>29155043302.766766</v>
      </c>
      <c r="V9" s="39">
        <f>'Customer Calc'!V137</f>
        <v>29563213909.005501</v>
      </c>
      <c r="W9" s="39">
        <f>'Customer Calc'!W137</f>
        <v>29977098903.731579</v>
      </c>
      <c r="X9" s="39">
        <f>'Customer Calc'!X137</f>
        <v>30396778288.38382</v>
      </c>
      <c r="Y9" s="39">
        <f>'Customer Calc'!Y137</f>
        <v>30822333184.421192</v>
      </c>
      <c r="Z9" s="39">
        <f>'Customer Calc'!Z137</f>
        <v>31253845849.00309</v>
      </c>
      <c r="AA9" s="39">
        <f>'Customer Calc'!AA137</f>
        <v>31691399690.889133</v>
      </c>
      <c r="AB9" s="39">
        <f>'Customer Calc'!AB137</f>
        <v>32135079286.561581</v>
      </c>
      <c r="AC9" s="39">
        <f>'Customer Calc'!AC137</f>
        <v>32584970396.573444</v>
      </c>
      <c r="AD9" s="39">
        <f>'Customer Calc'!AD137</f>
        <v>33041159982.125473</v>
      </c>
      <c r="AE9" s="39">
        <f>'Customer Calc'!AE137</f>
        <v>33503736221.875229</v>
      </c>
      <c r="AF9" s="39">
        <f>'Customer Calc'!AF137</f>
        <v>33972788528.981483</v>
      </c>
    </row>
    <row r="10" spans="2:32" x14ac:dyDescent="0.25">
      <c r="C10" s="4"/>
      <c r="D10" s="51" t="s">
        <v>55</v>
      </c>
      <c r="E10" s="51"/>
      <c r="F10" s="52" t="s">
        <v>6</v>
      </c>
      <c r="G10" s="82">
        <f>'Customer Calc'!G58</f>
        <v>25700000000</v>
      </c>
      <c r="H10" s="82">
        <f>'Customer Calc'!H58</f>
        <v>26001960000</v>
      </c>
      <c r="I10" s="82">
        <f>'Customer Calc'!I58</f>
        <v>26307626880</v>
      </c>
      <c r="J10" s="82">
        <f>'Customer Calc'!J58</f>
        <v>26617047851.279999</v>
      </c>
      <c r="K10" s="82">
        <f>'Customer Calc'!K58</f>
        <v>26930270743.91256</v>
      </c>
      <c r="L10" s="82">
        <f>'Customer Calc'!L58</f>
        <v>27247344015.046406</v>
      </c>
      <c r="M10" s="82">
        <f>'Customer Calc'!M58</f>
        <v>27568316757.302601</v>
      </c>
      <c r="N10" s="82">
        <f>'Customer Calc'!N58</f>
        <v>27893238707.28479</v>
      </c>
      <c r="O10" s="82">
        <f>'Customer Calc'!O58</f>
        <v>28222160254.205151</v>
      </c>
      <c r="P10" s="82">
        <f>'Customer Calc'!P58</f>
        <v>28555132448.62756</v>
      </c>
      <c r="Q10" s="82">
        <f>'Customer Calc'!Q58</f>
        <v>28892207011.329655</v>
      </c>
      <c r="R10" s="82">
        <f>'Customer Calc'!R58</f>
        <v>29296697909.48827</v>
      </c>
      <c r="S10" s="82">
        <f>'Customer Calc'!S58</f>
        <v>29706851680.221107</v>
      </c>
      <c r="T10" s="82">
        <f>'Customer Calc'!T58</f>
        <v>30122747603.744202</v>
      </c>
      <c r="U10" s="82">
        <f>'Customer Calc'!U58</f>
        <v>30544466070.196621</v>
      </c>
      <c r="V10" s="82">
        <f>'Customer Calc'!V58</f>
        <v>30972088595.179375</v>
      </c>
      <c r="W10" s="82">
        <f>'Customer Calc'!W58</f>
        <v>31405697835.511887</v>
      </c>
      <c r="X10" s="82">
        <f>'Customer Calc'!X58</f>
        <v>31845377605.209053</v>
      </c>
      <c r="Y10" s="82">
        <f>'Customer Calc'!Y58</f>
        <v>32291212891.68198</v>
      </c>
      <c r="Z10" s="82">
        <f>'Customer Calc'!Z58</f>
        <v>32743289872.165527</v>
      </c>
      <c r="AA10" s="82">
        <f>'Customer Calc'!AA58</f>
        <v>33201695930.375847</v>
      </c>
      <c r="AB10" s="82">
        <f>'Customer Calc'!AB58</f>
        <v>33666519673.401108</v>
      </c>
      <c r="AC10" s="82">
        <f>'Customer Calc'!AC58</f>
        <v>34137850948.828724</v>
      </c>
      <c r="AD10" s="82">
        <f>'Customer Calc'!AD58</f>
        <v>34615780862.112328</v>
      </c>
      <c r="AE10" s="82">
        <f>'Customer Calc'!AE58</f>
        <v>35100401794.1819</v>
      </c>
      <c r="AF10" s="83">
        <f>'Customer Calc'!AF58</f>
        <v>35591807419.300446</v>
      </c>
    </row>
    <row r="11" spans="2:32" x14ac:dyDescent="0.25">
      <c r="C11" s="4"/>
      <c r="D11" s="51"/>
      <c r="E11" s="320" t="s">
        <v>76</v>
      </c>
      <c r="F11" s="52" t="s">
        <v>19</v>
      </c>
      <c r="G11" s="82">
        <f>'Customer Calc'!G131</f>
        <v>1701598173.5159817</v>
      </c>
      <c r="H11" s="82">
        <f>'Customer Calc'!H131</f>
        <v>1720793347.9452055</v>
      </c>
      <c r="I11" s="82">
        <f>'Customer Calc'!I131</f>
        <v>1740215610.0164385</v>
      </c>
      <c r="J11" s="82">
        <f>'Customer Calc'!J131</f>
        <v>1759867764.1534688</v>
      </c>
      <c r="K11" s="82">
        <f>'Customer Calc'!K131</f>
        <v>1779752650.6687884</v>
      </c>
      <c r="L11" s="82">
        <f>'Customer Calc'!L131</f>
        <v>1799873146.2356772</v>
      </c>
      <c r="M11" s="82">
        <f>'Customer Calc'!M131</f>
        <v>1820232164.3666201</v>
      </c>
      <c r="N11" s="82">
        <f>'Customer Calc'!N131</f>
        <v>1840832655.898149</v>
      </c>
      <c r="O11" s="82">
        <f>'Customer Calc'!O131</f>
        <v>1861677609.482193</v>
      </c>
      <c r="P11" s="82">
        <f>'Customer Calc'!P131</f>
        <v>1882770052.0840266</v>
      </c>
      <c r="Q11" s="82">
        <f>'Customer Calc'!Q131</f>
        <v>1904113049.4869077</v>
      </c>
      <c r="R11" s="82">
        <f>'Customer Calc'!R131</f>
        <v>1930770632.1797245</v>
      </c>
      <c r="S11" s="82">
        <f>'Customer Calc'!S131</f>
        <v>1957801421.0302405</v>
      </c>
      <c r="T11" s="82">
        <f>'Customer Calc'!T131</f>
        <v>1985210640.924664</v>
      </c>
      <c r="U11" s="82">
        <f>'Customer Calc'!U131</f>
        <v>2013003589.8976092</v>
      </c>
      <c r="V11" s="82">
        <f>'Customer Calc'!V131</f>
        <v>2041185640.1561759</v>
      </c>
      <c r="W11" s="82">
        <f>'Customer Calc'!W131</f>
        <v>2069762239.1183624</v>
      </c>
      <c r="X11" s="82">
        <f>'Customer Calc'!X131</f>
        <v>2098738910.4660196</v>
      </c>
      <c r="Y11" s="82">
        <f>'Customer Calc'!Y131</f>
        <v>2128121255.212544</v>
      </c>
      <c r="Z11" s="82">
        <f>'Customer Calc'!Z131</f>
        <v>2157914952.7855196</v>
      </c>
      <c r="AA11" s="82">
        <f>'Customer Calc'!AA131</f>
        <v>2188125762.124517</v>
      </c>
      <c r="AB11" s="82">
        <f>'Customer Calc'!AB131</f>
        <v>2218759522.79426</v>
      </c>
      <c r="AC11" s="82">
        <f>'Customer Calc'!AC131</f>
        <v>2249822156.1133795</v>
      </c>
      <c r="AD11" s="82">
        <f>'Customer Calc'!AD131</f>
        <v>2281319666.2989669</v>
      </c>
      <c r="AE11" s="82">
        <f>'Customer Calc'!AE131</f>
        <v>2313258141.6271524</v>
      </c>
      <c r="AF11" s="82">
        <f>'Customer Calc'!AF131</f>
        <v>2345643755.6099324</v>
      </c>
    </row>
    <row r="12" spans="2:32" x14ac:dyDescent="0.25">
      <c r="C12" s="4"/>
      <c r="D12" s="51"/>
      <c r="E12" s="320" t="s">
        <v>77</v>
      </c>
      <c r="F12" s="52" t="s">
        <v>19</v>
      </c>
      <c r="G12" s="82">
        <f>'Customer Calc'!G132</f>
        <v>23998401826.484016</v>
      </c>
      <c r="H12" s="82">
        <f>'Customer Calc'!H132</f>
        <v>24281166652.054794</v>
      </c>
      <c r="I12" s="82">
        <f>'Customer Calc'!I132</f>
        <v>24567411269.983562</v>
      </c>
      <c r="J12" s="82">
        <f>'Customer Calc'!J132</f>
        <v>24857180087.126534</v>
      </c>
      <c r="K12" s="82">
        <f>'Customer Calc'!K132</f>
        <v>25150518093.243774</v>
      </c>
      <c r="L12" s="82">
        <f>'Customer Calc'!L132</f>
        <v>25447470868.810734</v>
      </c>
      <c r="M12" s="82">
        <f>'Customer Calc'!M132</f>
        <v>25748084592.935982</v>
      </c>
      <c r="N12" s="82">
        <f>'Customer Calc'!N132</f>
        <v>26052406051.386642</v>
      </c>
      <c r="O12" s="82">
        <f>'Customer Calc'!O132</f>
        <v>26360482644.722958</v>
      </c>
      <c r="P12" s="82">
        <f>'Customer Calc'!P132</f>
        <v>26672362396.543537</v>
      </c>
      <c r="Q12" s="82">
        <f>'Customer Calc'!Q132</f>
        <v>26988093961.842751</v>
      </c>
      <c r="R12" s="82">
        <f>'Customer Calc'!R132</f>
        <v>27365927277.308548</v>
      </c>
      <c r="S12" s="82">
        <f>'Customer Calc'!S132</f>
        <v>27749050259.190868</v>
      </c>
      <c r="T12" s="82">
        <f>'Customer Calc'!T132</f>
        <v>28137536962.819542</v>
      </c>
      <c r="U12" s="82">
        <f>'Customer Calc'!U132</f>
        <v>28531462480.299015</v>
      </c>
      <c r="V12" s="82">
        <f>'Customer Calc'!V132</f>
        <v>28930902955.023201</v>
      </c>
      <c r="W12" s="82">
        <f>'Customer Calc'!W132</f>
        <v>29335935596.393528</v>
      </c>
      <c r="X12" s="82">
        <f>'Customer Calc'!X132</f>
        <v>29746638694.743038</v>
      </c>
      <c r="Y12" s="82">
        <f>'Customer Calc'!Y132</f>
        <v>30163091636.46944</v>
      </c>
      <c r="Z12" s="82">
        <f>'Customer Calc'!Z132</f>
        <v>30585374919.380013</v>
      </c>
      <c r="AA12" s="82">
        <f>'Customer Calc'!AA132</f>
        <v>31013570168.251331</v>
      </c>
      <c r="AB12" s="82">
        <f>'Customer Calc'!AB132</f>
        <v>31447760150.60685</v>
      </c>
      <c r="AC12" s="82">
        <f>'Customer Calc'!AC132</f>
        <v>31888028792.715347</v>
      </c>
      <c r="AD12" s="82">
        <f>'Customer Calc'!AD132</f>
        <v>32334461195.813362</v>
      </c>
      <c r="AE12" s="82">
        <f>'Customer Calc'!AE132</f>
        <v>32787143652.554749</v>
      </c>
      <c r="AF12" s="82">
        <f>'Customer Calc'!AF132</f>
        <v>33246163663.690514</v>
      </c>
    </row>
    <row r="13" spans="2:32" x14ac:dyDescent="0.25">
      <c r="C13" s="4"/>
      <c r="D13" s="5" t="s">
        <v>329</v>
      </c>
      <c r="E13" s="5"/>
      <c r="F13" s="12" t="s">
        <v>79</v>
      </c>
      <c r="G13" s="41">
        <f>G7/(8670*'Customer Sector'!$F$15)</f>
        <v>4940407.5355632445</v>
      </c>
      <c r="H13" s="41">
        <f>H7/(8670*'Customer Sector'!$F$15)</f>
        <v>5009573.2410611305</v>
      </c>
      <c r="I13" s="41">
        <f>I7/(8670*'Customer Sector'!$F$15)</f>
        <v>5079707.2664359864</v>
      </c>
      <c r="J13" s="41">
        <f>J7/(8670*'Customer Sector'!$F$15)</f>
        <v>5150823.1681660898</v>
      </c>
      <c r="K13" s="41">
        <f>K7/(8670*'Customer Sector'!$F$15)</f>
        <v>5222934.6925204154</v>
      </c>
      <c r="L13" s="41">
        <f>L7/(8670*'Customer Sector'!$F$15)</f>
        <v>5296055.7782157008</v>
      </c>
      <c r="M13" s="41">
        <f>M7/(8670*'Customer Sector'!$F$15)</f>
        <v>5370200.5591107206</v>
      </c>
      <c r="N13" s="41">
        <f>N7/(8670*'Customer Sector'!$F$15)</f>
        <v>5445383.3669382706</v>
      </c>
      <c r="O13" s="41">
        <f>O7/(8670*'Customer Sector'!$F$15)</f>
        <v>5521618.7340754066</v>
      </c>
      <c r="P13" s="41">
        <f>P7/(8670*'Customer Sector'!$F$15)</f>
        <v>5598921.3963524625</v>
      </c>
      <c r="Q13" s="41">
        <f>Q7/(8670*'Customer Sector'!$F$15)</f>
        <v>5677306.2959013972</v>
      </c>
      <c r="R13" s="41">
        <f>R7/(8670*'Customer Sector'!$F$15)</f>
        <v>5756788.5840440169</v>
      </c>
      <c r="S13" s="41">
        <f>S7/(8670*'Customer Sector'!$F$15)</f>
        <v>5837383.6242206329</v>
      </c>
      <c r="T13" s="41">
        <f>T7/(8670*'Customer Sector'!$F$15)</f>
        <v>5919106.9949597213</v>
      </c>
      <c r="U13" s="41">
        <f>U7/(8670*'Customer Sector'!$F$15)</f>
        <v>6001974.4928891575</v>
      </c>
      <c r="V13" s="41">
        <f>V7/(8670*'Customer Sector'!$F$15)</f>
        <v>6086002.1357896067</v>
      </c>
      <c r="W13" s="41">
        <f>W7/(8670*'Customer Sector'!$F$15)</f>
        <v>6171206.1656906605</v>
      </c>
      <c r="X13" s="41">
        <f>X7/(8670*'Customer Sector'!$F$15)</f>
        <v>6257603.0520103294</v>
      </c>
      <c r="Y13" s="41">
        <f>Y7/(8670*'Customer Sector'!$F$15)</f>
        <v>6345209.4947384745</v>
      </c>
      <c r="Z13" s="41">
        <f>Z7/(8670*'Customer Sector'!$F$15)</f>
        <v>6434042.4276648127</v>
      </c>
      <c r="AA13" s="41">
        <f>AA7/(8670*'Customer Sector'!$F$15)</f>
        <v>6524119.0216521202</v>
      </c>
      <c r="AB13" s="41">
        <f>AB7/(8670*'Customer Sector'!$F$15)</f>
        <v>6615456.68795525</v>
      </c>
      <c r="AC13" s="41">
        <f>AC7/(8670*'Customer Sector'!$F$15)</f>
        <v>6708073.0815866226</v>
      </c>
      <c r="AD13" s="41">
        <f>AD7/(8670*'Customer Sector'!$F$15)</f>
        <v>6801986.1047288347</v>
      </c>
      <c r="AE13" s="41">
        <f>AE7/(8670*'Customer Sector'!$F$15)</f>
        <v>6897213.9101950396</v>
      </c>
      <c r="AF13" s="42">
        <f>AF7/(8670*'Customer Sector'!$F$15)</f>
        <v>6993774.9049377702</v>
      </c>
    </row>
    <row r="14" spans="2:32" x14ac:dyDescent="0.25">
      <c r="C14" s="4"/>
      <c r="D14" s="5" t="s">
        <v>330</v>
      </c>
      <c r="E14" s="5"/>
      <c r="F14" s="12" t="s">
        <v>19</v>
      </c>
      <c r="G14" s="41">
        <f>G10/(8670*'Customer Sector'!$F$15)</f>
        <v>4940407.5355632445</v>
      </c>
      <c r="H14" s="41">
        <f>H10/(8670*'Customer Sector'!$F$15)</f>
        <v>4998454.4405997694</v>
      </c>
      <c r="I14" s="41">
        <f>I10/(8670*'Customer Sector'!$F$15)</f>
        <v>5057213.9331026524</v>
      </c>
      <c r="J14" s="41">
        <f>J10/(8670*'Customer Sector'!$F$15)</f>
        <v>5116695.088673587</v>
      </c>
      <c r="K14" s="41">
        <f>K10/(8670*'Customer Sector'!$F$15)</f>
        <v>5176907.1018670816</v>
      </c>
      <c r="L14" s="41">
        <f>L10/(8670*'Customer Sector'!$F$15)</f>
        <v>5237859.2877828535</v>
      </c>
      <c r="M14" s="41">
        <f>M10/(8670*'Customer Sector'!$F$15)</f>
        <v>5299561.0836798539</v>
      </c>
      <c r="N14" s="41">
        <f>N10/(8670*'Customer Sector'!$F$15)</f>
        <v>5362022.0506122243</v>
      </c>
      <c r="O14" s="41">
        <f>O10/(8670*'Customer Sector'!$F$15)</f>
        <v>5425251.875087495</v>
      </c>
      <c r="P14" s="41">
        <f>P10/(8670*'Customer Sector'!$F$15)</f>
        <v>5489260.3707473204</v>
      </c>
      <c r="Q14" s="41">
        <f>Q10/(8670*'Customer Sector'!$F$15)</f>
        <v>5554057.4800710604</v>
      </c>
      <c r="R14" s="41">
        <f>R10/(8670*'Customer Sector'!$F$15)</f>
        <v>5631814.2847920554</v>
      </c>
      <c r="S14" s="41">
        <f>S10/(8670*'Customer Sector'!$F$15)</f>
        <v>5710659.6847791439</v>
      </c>
      <c r="T14" s="41">
        <f>T10/(8670*'Customer Sector'!$F$15)</f>
        <v>5790608.9203660516</v>
      </c>
      <c r="U14" s="41">
        <f>U10/(8670*'Customer Sector'!$F$15)</f>
        <v>5871677.4452511771</v>
      </c>
      <c r="V14" s="41">
        <f>V10/(8670*'Customer Sector'!$F$15)</f>
        <v>5953880.9294846933</v>
      </c>
      <c r="W14" s="41">
        <f>W10/(8670*'Customer Sector'!$F$15)</f>
        <v>6037235.2624974791</v>
      </c>
      <c r="X14" s="41">
        <f>X10/(8670*'Customer Sector'!$F$15)</f>
        <v>6121756.5561724436</v>
      </c>
      <c r="Y14" s="41">
        <f>Y10/(8670*'Customer Sector'!$F$15)</f>
        <v>6207461.1479588579</v>
      </c>
      <c r="Z14" s="41">
        <f>Z10/(8670*'Customer Sector'!$F$15)</f>
        <v>6294365.6040302822</v>
      </c>
      <c r="AA14" s="41">
        <f>AA10/(8670*'Customer Sector'!$F$15)</f>
        <v>6382486.7224867065</v>
      </c>
      <c r="AB14" s="41">
        <f>AB10/(8670*'Customer Sector'!$F$15)</f>
        <v>6471841.5366015201</v>
      </c>
      <c r="AC14" s="41">
        <f>AC10/(8670*'Customer Sector'!$F$15)</f>
        <v>6562447.3181139417</v>
      </c>
      <c r="AD14" s="41">
        <f>AD10/(8670*'Customer Sector'!$F$15)</f>
        <v>6654321.5805675369</v>
      </c>
      <c r="AE14" s="41">
        <f>AE10/(8670*'Customer Sector'!$F$15)</f>
        <v>6747482.0826954823</v>
      </c>
      <c r="AF14" s="42">
        <f>AF10/(8670*'Customer Sector'!$F$15)</f>
        <v>6841946.8318532193</v>
      </c>
    </row>
    <row r="15" spans="2:32" x14ac:dyDescent="0.25">
      <c r="C15" s="325" t="s">
        <v>322</v>
      </c>
      <c r="D15" s="326"/>
      <c r="E15" s="326"/>
      <c r="F15" s="5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3"/>
    </row>
    <row r="16" spans="2:32" x14ac:dyDescent="0.25">
      <c r="C16" s="327"/>
      <c r="D16" s="9" t="s">
        <v>25</v>
      </c>
      <c r="E16" s="9"/>
      <c r="F16" s="17" t="s">
        <v>6</v>
      </c>
      <c r="G16" s="39">
        <f>'Customer Calc'!AM57</f>
        <v>55389000000</v>
      </c>
      <c r="H16" s="39">
        <f>'Customer Calc'!AN57</f>
        <v>56031512400</v>
      </c>
      <c r="I16" s="39">
        <f>'Customer Calc'!AO57</f>
        <v>56681477943.840004</v>
      </c>
      <c r="J16" s="39">
        <f>'Customer Calc'!AP57</f>
        <v>57338983087.988548</v>
      </c>
      <c r="K16" s="39">
        <f>'Customer Calc'!AQ57</f>
        <v>58004115291.809219</v>
      </c>
      <c r="L16" s="39">
        <f>'Customer Calc'!AR57</f>
        <v>58676963029.194206</v>
      </c>
      <c r="M16" s="39">
        <f>'Customer Calc'!AS57</f>
        <v>59357615800.332863</v>
      </c>
      <c r="N16" s="39">
        <f>'Customer Calc'!AT57</f>
        <v>60046164143.61673</v>
      </c>
      <c r="O16" s="39">
        <f>'Customer Calc'!AU57</f>
        <v>60742699647.682686</v>
      </c>
      <c r="P16" s="39">
        <f>'Customer Calc'!AV57</f>
        <v>61447314963.59581</v>
      </c>
      <c r="Q16" s="39">
        <f>'Customer Calc'!AW57</f>
        <v>62160103817.173523</v>
      </c>
      <c r="R16" s="39">
        <f>'Customer Calc'!AX57</f>
        <v>62881161021.452736</v>
      </c>
      <c r="S16" s="39">
        <f>'Customer Calc'!AY57</f>
        <v>63610582489.30159</v>
      </c>
      <c r="T16" s="39">
        <f>'Customer Calc'!AZ57</f>
        <v>64348465246.17749</v>
      </c>
      <c r="U16" s="39">
        <f>'Customer Calc'!BA57</f>
        <v>65094907443.03315</v>
      </c>
      <c r="V16" s="39">
        <f>'Customer Calc'!BB57</f>
        <v>65850008369.372337</v>
      </c>
      <c r="W16" s="39">
        <f>'Customer Calc'!BC57</f>
        <v>66613868466.457062</v>
      </c>
      <c r="X16" s="39">
        <f>'Customer Calc'!BD57</f>
        <v>67386589340.667969</v>
      </c>
      <c r="Y16" s="39">
        <f>'Customer Calc'!BE57</f>
        <v>68168273777.019722</v>
      </c>
      <c r="Z16" s="39">
        <f>'Customer Calc'!BF57</f>
        <v>68959025752.83316</v>
      </c>
      <c r="AA16" s="39">
        <f>'Customer Calc'!BG57</f>
        <v>69758950451.566025</v>
      </c>
      <c r="AB16" s="39">
        <f>'Customer Calc'!BH57</f>
        <v>70568154276.804199</v>
      </c>
      <c r="AC16" s="39">
        <f>'Customer Calc'!BI57</f>
        <v>71386744866.415131</v>
      </c>
      <c r="AD16" s="39">
        <f>'Customer Calc'!BJ57</f>
        <v>72214831106.865555</v>
      </c>
      <c r="AE16" s="39">
        <f>'Customer Calc'!BK57</f>
        <v>73052523147.7052</v>
      </c>
      <c r="AF16" s="39">
        <f>'Customer Calc'!BL57</f>
        <v>73899932416.218582</v>
      </c>
    </row>
    <row r="17" spans="3:32" x14ac:dyDescent="0.25">
      <c r="C17" s="327"/>
      <c r="D17" s="9"/>
      <c r="E17" s="9" t="s">
        <v>271</v>
      </c>
      <c r="F17" s="17" t="s">
        <v>19</v>
      </c>
      <c r="G17" s="39">
        <f>'Customer Calc'!AM136</f>
        <v>3667308219.1780825</v>
      </c>
      <c r="H17" s="39">
        <f>'Customer Calc'!AN136</f>
        <v>3709848994.5205483</v>
      </c>
      <c r="I17" s="39">
        <f>'Customer Calc'!AO136</f>
        <v>3752883242.856987</v>
      </c>
      <c r="J17" s="39">
        <f>'Customer Calc'!AP136</f>
        <v>3796416688.4741282</v>
      </c>
      <c r="K17" s="39">
        <f>'Customer Calc'!AQ136</f>
        <v>3840455122.0604281</v>
      </c>
      <c r="L17" s="39">
        <f>'Customer Calc'!AR136</f>
        <v>3885004401.4763293</v>
      </c>
      <c r="M17" s="39">
        <f>'Customer Calc'!AS136</f>
        <v>3930070452.5334549</v>
      </c>
      <c r="N17" s="39">
        <f>'Customer Calc'!AT136</f>
        <v>3975659269.7828431</v>
      </c>
      <c r="O17" s="39">
        <f>'Customer Calc'!AU136</f>
        <v>4021776917.3123245</v>
      </c>
      <c r="P17" s="39">
        <f>'Customer Calc'!AV136</f>
        <v>4068429529.5531478</v>
      </c>
      <c r="Q17" s="39">
        <f>'Customer Calc'!AW136</f>
        <v>4115623312.0959644</v>
      </c>
      <c r="R17" s="39">
        <f>'Customer Calc'!AX136</f>
        <v>4163364542.5162778</v>
      </c>
      <c r="S17" s="39">
        <f>'Customer Calc'!AY136</f>
        <v>4211659571.2094669</v>
      </c>
      <c r="T17" s="39">
        <f>'Customer Calc'!AZ136</f>
        <v>4260514822.235497</v>
      </c>
      <c r="U17" s="39">
        <f>'Customer Calc'!BA136</f>
        <v>4309936794.1734285</v>
      </c>
      <c r="V17" s="39">
        <f>'Customer Calc'!BB136</f>
        <v>4359932060.9858408</v>
      </c>
      <c r="W17" s="39">
        <f>'Customer Calc'!BC136</f>
        <v>4410507272.8932772</v>
      </c>
      <c r="X17" s="39">
        <f>'Customer Calc'!BD136</f>
        <v>4461669157.2588396</v>
      </c>
      <c r="Y17" s="39">
        <f>'Customer Calc'!BE136</f>
        <v>4513424519.4830427</v>
      </c>
      <c r="Z17" s="39">
        <f>'Customer Calc'!BF136</f>
        <v>4565780243.9090462</v>
      </c>
      <c r="AA17" s="39">
        <f>'Customer Calc'!BG136</f>
        <v>4618743294.7383909</v>
      </c>
      <c r="AB17" s="39">
        <f>'Customer Calc'!BH136</f>
        <v>4672320716.9573565</v>
      </c>
      <c r="AC17" s="39">
        <f>'Customer Calc'!BI136</f>
        <v>4726519637.2740622</v>
      </c>
      <c r="AD17" s="39">
        <f>'Customer Calc'!BJ136</f>
        <v>4781347265.0664415</v>
      </c>
      <c r="AE17" s="39">
        <f>'Customer Calc'!BK136</f>
        <v>4836810893.3412123</v>
      </c>
      <c r="AF17" s="39">
        <f>'Customer Calc'!BL136</f>
        <v>4892917899.7039709</v>
      </c>
    </row>
    <row r="18" spans="3:32" x14ac:dyDescent="0.25">
      <c r="C18" s="327"/>
      <c r="D18" s="9"/>
      <c r="E18" s="9" t="s">
        <v>272</v>
      </c>
      <c r="F18" s="17" t="s">
        <v>19</v>
      </c>
      <c r="G18" s="39">
        <f>'Customer Calc'!AM137</f>
        <v>51721691780.821915</v>
      </c>
      <c r="H18" s="39">
        <f>'Customer Calc'!AN137</f>
        <v>52321663405.479454</v>
      </c>
      <c r="I18" s="39">
        <f>'Customer Calc'!AO137</f>
        <v>52928594700.983017</v>
      </c>
      <c r="J18" s="39">
        <f>'Customer Calc'!AP137</f>
        <v>53542566399.51442</v>
      </c>
      <c r="K18" s="39">
        <f>'Customer Calc'!AQ137</f>
        <v>54163660169.748787</v>
      </c>
      <c r="L18" s="39">
        <f>'Customer Calc'!AR137</f>
        <v>54791958627.717873</v>
      </c>
      <c r="M18" s="39">
        <f>'Customer Calc'!AS137</f>
        <v>55427545347.7994</v>
      </c>
      <c r="N18" s="39">
        <f>'Customer Calc'!AT137</f>
        <v>56070504873.833878</v>
      </c>
      <c r="O18" s="39">
        <f>'Customer Calc'!AU137</f>
        <v>56720922730.370354</v>
      </c>
      <c r="P18" s="39">
        <f>'Customer Calc'!AV137</f>
        <v>57378885434.042656</v>
      </c>
      <c r="Q18" s="39">
        <f>'Customer Calc'!AW137</f>
        <v>58044480505.077553</v>
      </c>
      <c r="R18" s="39">
        <f>'Customer Calc'!AX137</f>
        <v>58717796478.936455</v>
      </c>
      <c r="S18" s="39">
        <f>'Customer Calc'!AY137</f>
        <v>59398922918.092117</v>
      </c>
      <c r="T18" s="39">
        <f>'Customer Calc'!AZ137</f>
        <v>60087950423.941986</v>
      </c>
      <c r="U18" s="39">
        <f>'Customer Calc'!BA137</f>
        <v>60784970648.859718</v>
      </c>
      <c r="V18" s="39">
        <f>'Customer Calc'!BB137</f>
        <v>61490076308.386497</v>
      </c>
      <c r="W18" s="39">
        <f>'Customer Calc'!BC137</f>
        <v>62203361193.563782</v>
      </c>
      <c r="X18" s="39">
        <f>'Customer Calc'!BD137</f>
        <v>62924920183.409126</v>
      </c>
      <c r="Y18" s="39">
        <f>'Customer Calc'!BE137</f>
        <v>63654849257.536674</v>
      </c>
      <c r="Z18" s="39">
        <f>'Customer Calc'!BF137</f>
        <v>64393245508.924103</v>
      </c>
      <c r="AA18" s="39">
        <f>'Customer Calc'!BG137</f>
        <v>65140207156.827629</v>
      </c>
      <c r="AB18" s="39">
        <f>'Customer Calc'!BH137</f>
        <v>65895833559.846832</v>
      </c>
      <c r="AC18" s="39">
        <f>'Customer Calc'!BI137</f>
        <v>66660225229.14106</v>
      </c>
      <c r="AD18" s="39">
        <f>'Customer Calc'!BJ137</f>
        <v>67433483841.799103</v>
      </c>
      <c r="AE18" s="39">
        <f>'Customer Calc'!BK137</f>
        <v>68215712254.363976</v>
      </c>
      <c r="AF18" s="39">
        <f>'Customer Calc'!BL137</f>
        <v>69007014516.514603</v>
      </c>
    </row>
    <row r="19" spans="3:32" x14ac:dyDescent="0.25">
      <c r="C19" s="232"/>
      <c r="D19" s="5" t="s">
        <v>55</v>
      </c>
      <c r="E19" s="5"/>
      <c r="F19" s="12" t="s">
        <v>6</v>
      </c>
      <c r="G19" s="41">
        <f>'Customer Calc'!AM58</f>
        <v>55389000000</v>
      </c>
      <c r="H19" s="41">
        <f>'Customer Calc'!AN58</f>
        <v>55790523400</v>
      </c>
      <c r="I19" s="41">
        <f>'Customer Calc'!AO58</f>
        <v>56180558208.440002</v>
      </c>
      <c r="J19" s="41">
        <f>'Customer Calc'!AP58</f>
        <v>56557889358.036911</v>
      </c>
      <c r="K19" s="41">
        <f>'Customer Calc'!AQ58</f>
        <v>56921215206.152534</v>
      </c>
      <c r="L19" s="41">
        <f>'Customer Calc'!AR58</f>
        <v>57269141674.320984</v>
      </c>
      <c r="M19" s="41">
        <f>'Customer Calc'!AS58</f>
        <v>57600175994.429245</v>
      </c>
      <c r="N19" s="41">
        <f>'Customer Calc'!AT58</f>
        <v>57912720035.188736</v>
      </c>
      <c r="O19" s="41">
        <f>'Customer Calc'!AU58</f>
        <v>58205063180.769058</v>
      </c>
      <c r="P19" s="41">
        <f>'Customer Calc'!AV58</f>
        <v>58475374731.580643</v>
      </c>
      <c r="Q19" s="41">
        <f>'Customer Calc'!AW58</f>
        <v>58721695795.181915</v>
      </c>
      <c r="R19" s="41">
        <f>'Customer Calc'!AX58</f>
        <v>59402867466.406029</v>
      </c>
      <c r="S19" s="41">
        <f>'Customer Calc'!AY58</f>
        <v>60091940729.016342</v>
      </c>
      <c r="T19" s="41">
        <f>'Customer Calc'!AZ58</f>
        <v>60789007241.472939</v>
      </c>
      <c r="U19" s="41">
        <f>'Customer Calc'!BA58</f>
        <v>61494159725.47403</v>
      </c>
      <c r="V19" s="41">
        <f>'Customer Calc'!BB58</f>
        <v>62207491978.289528</v>
      </c>
      <c r="W19" s="41">
        <f>'Customer Calc'!BC58</f>
        <v>62929098885.237686</v>
      </c>
      <c r="X19" s="41">
        <f>'Customer Calc'!BD58</f>
        <v>63659076432.30645</v>
      </c>
      <c r="Y19" s="41">
        <f>'Customer Calc'!BE58</f>
        <v>64397521718.921211</v>
      </c>
      <c r="Z19" s="41">
        <f>'Customer Calc'!BF58</f>
        <v>65144532970.860703</v>
      </c>
      <c r="AA19" s="41">
        <f>'Customer Calc'!BG58</f>
        <v>65900209553.322693</v>
      </c>
      <c r="AB19" s="41">
        <f>'Customer Calc'!BH58</f>
        <v>66664651984.141243</v>
      </c>
      <c r="AC19" s="41">
        <f>'Customer Calc'!BI58</f>
        <v>67437961947.157288</v>
      </c>
      <c r="AD19" s="41">
        <f>'Customer Calc'!BJ58</f>
        <v>68220242305.744316</v>
      </c>
      <c r="AE19" s="41">
        <f>'Customer Calc'!BK58</f>
        <v>69011597116.490952</v>
      </c>
      <c r="AF19" s="41">
        <f>'Customer Calc'!BL58</f>
        <v>69812131643.042252</v>
      </c>
    </row>
    <row r="20" spans="3:32" x14ac:dyDescent="0.25">
      <c r="C20" s="232"/>
      <c r="D20" s="5"/>
      <c r="E20" s="318" t="s">
        <v>76</v>
      </c>
      <c r="F20" s="12" t="s">
        <v>19</v>
      </c>
      <c r="G20" s="41">
        <f>'Customer Calc'!AM131</f>
        <v>3667308219.1780825</v>
      </c>
      <c r="H20" s="41">
        <f>'Customer Calc'!AN131</f>
        <v>3685750094.5205483</v>
      </c>
      <c r="I20" s="41">
        <f>'Customer Calc'!AO131</f>
        <v>3702791269.3169866</v>
      </c>
      <c r="J20" s="41">
        <f>'Customer Calc'!AP131</f>
        <v>3718307315.4789639</v>
      </c>
      <c r="K20" s="41">
        <f>'Customer Calc'!AQ131</f>
        <v>3732165113.4947596</v>
      </c>
      <c r="L20" s="41">
        <f>'Customer Calc'!AR131</f>
        <v>3744222265.989006</v>
      </c>
      <c r="M20" s="41">
        <f>'Customer Calc'!AS131</f>
        <v>3754326471.9430928</v>
      </c>
      <c r="N20" s="41">
        <f>'Customer Calc'!AT131</f>
        <v>3762314858.9400439</v>
      </c>
      <c r="O20" s="41">
        <f>'Customer Calc'!AU131</f>
        <v>3768013270.6209612</v>
      </c>
      <c r="P20" s="41">
        <f>'Customer Calc'!AV131</f>
        <v>3771235506.3516302</v>
      </c>
      <c r="Q20" s="41">
        <f>'Customer Calc'!AW131</f>
        <v>3771782509.8968034</v>
      </c>
      <c r="R20" s="41">
        <f>'Customer Calc'!AX131</f>
        <v>3815535187.0116067</v>
      </c>
      <c r="S20" s="41">
        <f>'Customer Calc'!AY131</f>
        <v>3859795395.1809416</v>
      </c>
      <c r="T20" s="41">
        <f>'Customer Calc'!AZ131</f>
        <v>3904569021.7650409</v>
      </c>
      <c r="U20" s="41">
        <f>'Customer Calc'!BA131</f>
        <v>3949862022.4175158</v>
      </c>
      <c r="V20" s="41">
        <f>'Customer Calc'!BB131</f>
        <v>3995680421.8775592</v>
      </c>
      <c r="W20" s="41">
        <f>'Customer Calc'!BC131</f>
        <v>4042030314.7713389</v>
      </c>
      <c r="X20" s="41">
        <f>'Customer Calc'!BD131</f>
        <v>4088917866.4226866</v>
      </c>
      <c r="Y20" s="41">
        <f>'Customer Calc'!BE131</f>
        <v>4136349313.6731901</v>
      </c>
      <c r="Z20" s="41">
        <f>'Customer Calc'!BF131</f>
        <v>4184330965.7117991</v>
      </c>
      <c r="AA20" s="41">
        <f>'Customer Calc'!BG131</f>
        <v>4232869204.9140563</v>
      </c>
      <c r="AB20" s="41">
        <f>'Customer Calc'!BH131</f>
        <v>4281970487.6910596</v>
      </c>
      <c r="AC20" s="41">
        <f>'Customer Calc'!BI131</f>
        <v>4331641345.3482761</v>
      </c>
      <c r="AD20" s="41">
        <f>'Customer Calc'!BJ131</f>
        <v>4381888384.9543161</v>
      </c>
      <c r="AE20" s="41">
        <f>'Customer Calc'!BK131</f>
        <v>4432718290.2197866</v>
      </c>
      <c r="AF20" s="41">
        <f>'Customer Calc'!BL131</f>
        <v>4484137822.3863363</v>
      </c>
    </row>
    <row r="21" spans="3:32" x14ac:dyDescent="0.25">
      <c r="C21" s="232"/>
      <c r="D21" s="5"/>
      <c r="E21" s="318" t="s">
        <v>77</v>
      </c>
      <c r="F21" s="12" t="s">
        <v>19</v>
      </c>
      <c r="G21" s="41">
        <f>'Customer Calc'!AM132</f>
        <v>51721691780.821915</v>
      </c>
      <c r="H21" s="41">
        <f>'Customer Calc'!AN132</f>
        <v>52104773305.479454</v>
      </c>
      <c r="I21" s="41">
        <f>'Customer Calc'!AO132</f>
        <v>52477766939.123016</v>
      </c>
      <c r="J21" s="41">
        <f>'Customer Calc'!AP132</f>
        <v>52839582042.557945</v>
      </c>
      <c r="K21" s="41">
        <f>'Customer Calc'!AQ132</f>
        <v>53189050092.657776</v>
      </c>
      <c r="L21" s="41">
        <f>'Customer Calc'!AR132</f>
        <v>53524919408.331978</v>
      </c>
      <c r="M21" s="41">
        <f>'Customer Calc'!AS132</f>
        <v>53845849522.486153</v>
      </c>
      <c r="N21" s="41">
        <f>'Customer Calc'!AT132</f>
        <v>54150405176.248695</v>
      </c>
      <c r="O21" s="41">
        <f>'Customer Calc'!AU132</f>
        <v>54437049910.148094</v>
      </c>
      <c r="P21" s="41">
        <f>'Customer Calc'!AV132</f>
        <v>54704139225.229012</v>
      </c>
      <c r="Q21" s="41">
        <f>'Customer Calc'!AW132</f>
        <v>54949913285.28511</v>
      </c>
      <c r="R21" s="41">
        <f>'Customer Calc'!AX132</f>
        <v>55587332279.394424</v>
      </c>
      <c r="S21" s="41">
        <f>'Customer Calc'!AY132</f>
        <v>56232145333.835403</v>
      </c>
      <c r="T21" s="41">
        <f>'Customer Calc'!AZ132</f>
        <v>56884438219.707901</v>
      </c>
      <c r="U21" s="41">
        <f>'Customer Calc'!BA132</f>
        <v>57544297703.056511</v>
      </c>
      <c r="V21" s="41">
        <f>'Customer Calc'!BB132</f>
        <v>58211811556.411972</v>
      </c>
      <c r="W21" s="41">
        <f>'Customer Calc'!BC132</f>
        <v>58887068570.466347</v>
      </c>
      <c r="X21" s="41">
        <f>'Customer Calc'!BD132</f>
        <v>59570158565.883766</v>
      </c>
      <c r="Y21" s="41">
        <f>'Customer Calc'!BE132</f>
        <v>60261172405.248024</v>
      </c>
      <c r="Z21" s="41">
        <f>'Customer Calc'!BF132</f>
        <v>60960202005.148903</v>
      </c>
      <c r="AA21" s="41">
        <f>'Customer Calc'!BG132</f>
        <v>61667340348.408638</v>
      </c>
      <c r="AB21" s="41">
        <f>'Customer Calc'!BH132</f>
        <v>62382681496.45018</v>
      </c>
      <c r="AC21" s="41">
        <f>'Customer Calc'!BI132</f>
        <v>63106320601.809013</v>
      </c>
      <c r="AD21" s="41">
        <f>'Customer Calc'!BJ132</f>
        <v>63838353920.790001</v>
      </c>
      <c r="AE21" s="41">
        <f>'Customer Calc'!BK132</f>
        <v>64578878826.271164</v>
      </c>
      <c r="AF21" s="41">
        <f>'Customer Calc'!BL132</f>
        <v>65327993820.655914</v>
      </c>
    </row>
    <row r="22" spans="3:32" x14ac:dyDescent="0.25">
      <c r="C22" s="232"/>
      <c r="D22" s="51" t="s">
        <v>329</v>
      </c>
      <c r="E22" s="51"/>
      <c r="F22" s="52" t="s">
        <v>79</v>
      </c>
      <c r="G22" s="82">
        <f>G16/(8670*'Customer Sector'!$L$15)</f>
        <v>10647635.524798155</v>
      </c>
      <c r="H22" s="82">
        <f>H16/(8670*'Customer Sector'!$L$15)</f>
        <v>10771148.096885813</v>
      </c>
      <c r="I22" s="82">
        <f>I16/(8670*'Customer Sector'!$L$15)</f>
        <v>10896093.414809689</v>
      </c>
      <c r="J22" s="82">
        <f>J16/(8670*'Customer Sector'!$L$15)</f>
        <v>11022488.098421482</v>
      </c>
      <c r="K22" s="82">
        <f>K16/(8670*'Customer Sector'!$L$15)</f>
        <v>11150348.960363172</v>
      </c>
      <c r="L22" s="82">
        <f>L16/(8670*'Customer Sector'!$L$15)</f>
        <v>11279693.008303385</v>
      </c>
      <c r="M22" s="82">
        <f>M16/(8670*'Customer Sector'!$L$15)</f>
        <v>11410537.447199704</v>
      </c>
      <c r="N22" s="82">
        <f>N16/(8670*'Customer Sector'!$L$15)</f>
        <v>11542899.681587223</v>
      </c>
      <c r="O22" s="82">
        <f>O16/(8670*'Customer Sector'!$L$15)</f>
        <v>11676797.317893634</v>
      </c>
      <c r="P22" s="82">
        <f>P16/(8670*'Customer Sector'!$L$15)</f>
        <v>11812248.166781202</v>
      </c>
      <c r="Q22" s="82">
        <f>Q16/(8670*'Customer Sector'!$L$15)</f>
        <v>11949270.245515864</v>
      </c>
      <c r="R22" s="82">
        <f>R16/(8670*'Customer Sector'!$L$15)</f>
        <v>12087881.780363848</v>
      </c>
      <c r="S22" s="82">
        <f>S16/(8670*'Customer Sector'!$L$15)</f>
        <v>12228101.209016068</v>
      </c>
      <c r="T22" s="82">
        <f>T16/(8670*'Customer Sector'!$L$15)</f>
        <v>12369947.183040656</v>
      </c>
      <c r="U22" s="82">
        <f>U16/(8670*'Customer Sector'!$L$15)</f>
        <v>12513438.570363928</v>
      </c>
      <c r="V22" s="82">
        <f>V16/(8670*'Customer Sector'!$L$15)</f>
        <v>12658594.457780149</v>
      </c>
      <c r="W22" s="82">
        <f>W16/(8670*'Customer Sector'!$L$15)</f>
        <v>12805434.1534904</v>
      </c>
      <c r="X22" s="82">
        <f>X16/(8670*'Customer Sector'!$L$15)</f>
        <v>12953977.189670891</v>
      </c>
      <c r="Y22" s="82">
        <f>Y16/(8670*'Customer Sector'!$L$15)</f>
        <v>13104243.325071072</v>
      </c>
      <c r="Z22" s="82">
        <f>Z16/(8670*'Customer Sector'!$L$15)</f>
        <v>13256252.547641899</v>
      </c>
      <c r="AA22" s="82">
        <f>AA16/(8670*'Customer Sector'!$L$15)</f>
        <v>13410025.077194545</v>
      </c>
      <c r="AB22" s="82">
        <f>AB16/(8670*'Customer Sector'!$L$15)</f>
        <v>13565581.368090004</v>
      </c>
      <c r="AC22" s="82">
        <f>AC16/(8670*'Customer Sector'!$L$15)</f>
        <v>13722942.111959849</v>
      </c>
      <c r="AD22" s="82">
        <f>AD16/(8670*'Customer Sector'!$L$15)</f>
        <v>13882128.240458583</v>
      </c>
      <c r="AE22" s="82">
        <f>AE16/(8670*'Customer Sector'!$L$15)</f>
        <v>14043160.928047905</v>
      </c>
      <c r="AF22" s="82">
        <f>AF16/(8670*'Customer Sector'!$L$15)</f>
        <v>14206061.594813261</v>
      </c>
    </row>
    <row r="23" spans="3:32" x14ac:dyDescent="0.25">
      <c r="C23" s="232"/>
      <c r="D23" s="51" t="s">
        <v>330</v>
      </c>
      <c r="E23" s="51"/>
      <c r="F23" s="52" t="s">
        <v>19</v>
      </c>
      <c r="G23" s="82">
        <f>G19/(8670*'Customer Sector'!$L$15)</f>
        <v>10647635.524798155</v>
      </c>
      <c r="H23" s="82">
        <f>H19/(8670*'Customer Sector'!$L$15)</f>
        <v>10724821.87620146</v>
      </c>
      <c r="I23" s="82">
        <f>I19/(8670*'Customer Sector'!$L$15)</f>
        <v>10799799.732495194</v>
      </c>
      <c r="J23" s="82">
        <f>J19/(8670*'Customer Sector'!$L$15)</f>
        <v>10872335.516731432</v>
      </c>
      <c r="K23" s="82">
        <f>K19/(8670*'Customer Sector'!$L$15)</f>
        <v>10942179.009256542</v>
      </c>
      <c r="L23" s="82">
        <f>L19/(8670*'Customer Sector'!$L$15)</f>
        <v>11009062.221130524</v>
      </c>
      <c r="M23" s="82">
        <f>M19/(8670*'Customer Sector'!$L$15)</f>
        <v>11072698.191931805</v>
      </c>
      <c r="N23" s="82">
        <f>N19/(8670*'Customer Sector'!$L$15)</f>
        <v>11132779.706879804</v>
      </c>
      <c r="O23" s="82">
        <f>O19/(8670*'Customer Sector'!$L$15)</f>
        <v>11188977.927867947</v>
      </c>
      <c r="P23" s="82">
        <f>P19/(8670*'Customer Sector'!$L$15)</f>
        <v>11240940.93263757</v>
      </c>
      <c r="Q23" s="82">
        <f>Q19/(8670*'Customer Sector'!$L$15)</f>
        <v>11288292.155936547</v>
      </c>
      <c r="R23" s="82">
        <f>R19/(8670*'Customer Sector'!$L$15)</f>
        <v>11419236.34494541</v>
      </c>
      <c r="S23" s="82">
        <f>S19/(8670*'Customer Sector'!$L$15)</f>
        <v>11551699.486546779</v>
      </c>
      <c r="T23" s="82">
        <f>T19/(8670*'Customer Sector'!$L$15)</f>
        <v>11685699.200590722</v>
      </c>
      <c r="U23" s="82">
        <f>U19/(8670*'Customer Sector'!$L$15)</f>
        <v>11821253.311317576</v>
      </c>
      <c r="V23" s="82">
        <f>V19/(8670*'Customer Sector'!$L$15)</f>
        <v>11958379.84972886</v>
      </c>
      <c r="W23" s="82">
        <f>W19/(8670*'Customer Sector'!$L$15)</f>
        <v>12097097.055985715</v>
      </c>
      <c r="X23" s="82">
        <f>X19/(8670*'Customer Sector'!$L$15)</f>
        <v>12237423.38183515</v>
      </c>
      <c r="Y23" s="82">
        <f>Y19/(8670*'Customer Sector'!$L$15)</f>
        <v>12379377.493064439</v>
      </c>
      <c r="Z23" s="82">
        <f>Z19/(8670*'Customer Sector'!$L$15)</f>
        <v>12522978.271983987</v>
      </c>
      <c r="AA23" s="82">
        <f>AA19/(8670*'Customer Sector'!$L$15)</f>
        <v>12668244.819939002</v>
      </c>
      <c r="AB23" s="82">
        <f>AB19/(8670*'Customer Sector'!$L$15)</f>
        <v>12815196.459850296</v>
      </c>
      <c r="AC23" s="82">
        <f>AC19/(8670*'Customer Sector'!$L$15)</f>
        <v>12963852.738784561</v>
      </c>
      <c r="AD23" s="82">
        <f>AD19/(8670*'Customer Sector'!$L$15)</f>
        <v>13114233.430554463</v>
      </c>
      <c r="AE23" s="82">
        <f>AE19/(8670*'Customer Sector'!$L$15)</f>
        <v>13266358.538348895</v>
      </c>
      <c r="AF23" s="82">
        <f>AF19/(8670*'Customer Sector'!$L$15)</f>
        <v>13420248.297393743</v>
      </c>
    </row>
    <row r="24" spans="3:32" x14ac:dyDescent="0.25">
      <c r="C24" s="4" t="s">
        <v>366</v>
      </c>
      <c r="D24" s="5"/>
      <c r="E24" s="5"/>
      <c r="F24" s="12" t="s">
        <v>79</v>
      </c>
      <c r="G24" s="41">
        <f>G13+G22</f>
        <v>15588043.0603614</v>
      </c>
      <c r="H24" s="41">
        <f t="shared" ref="H24:AF24" si="0">H13+H22</f>
        <v>15780721.337946944</v>
      </c>
      <c r="I24" s="41">
        <f t="shared" si="0"/>
        <v>15975800.681245675</v>
      </c>
      <c r="J24" s="41">
        <f t="shared" si="0"/>
        <v>16173311.266587572</v>
      </c>
      <c r="K24" s="41">
        <f t="shared" si="0"/>
        <v>16373283.652883587</v>
      </c>
      <c r="L24" s="41">
        <f t="shared" si="0"/>
        <v>16575748.786519086</v>
      </c>
      <c r="M24" s="41">
        <f t="shared" si="0"/>
        <v>16780738.006310426</v>
      </c>
      <c r="N24" s="41">
        <f t="shared" si="0"/>
        <v>16988283.048525494</v>
      </c>
      <c r="O24" s="41">
        <f t="shared" si="0"/>
        <v>17198416.05196904</v>
      </c>
      <c r="P24" s="41">
        <f t="shared" si="0"/>
        <v>17411169.563133664</v>
      </c>
      <c r="Q24" s="41">
        <f t="shared" si="0"/>
        <v>17626576.541417263</v>
      </c>
      <c r="R24" s="41">
        <f t="shared" si="0"/>
        <v>17844670.364407867</v>
      </c>
      <c r="S24" s="41">
        <f t="shared" si="0"/>
        <v>18065484.833236702</v>
      </c>
      <c r="T24" s="41">
        <f t="shared" si="0"/>
        <v>18289054.178000376</v>
      </c>
      <c r="U24" s="41">
        <f t="shared" si="0"/>
        <v>18515413.063253086</v>
      </c>
      <c r="V24" s="41">
        <f t="shared" si="0"/>
        <v>18744596.593569756</v>
      </c>
      <c r="W24" s="41">
        <f t="shared" si="0"/>
        <v>18976640.319181062</v>
      </c>
      <c r="X24" s="41">
        <f t="shared" si="0"/>
        <v>19211580.241681218</v>
      </c>
      <c r="Y24" s="41">
        <f t="shared" si="0"/>
        <v>19449452.819809549</v>
      </c>
      <c r="Z24" s="41">
        <f t="shared" si="0"/>
        <v>19690294.975306712</v>
      </c>
      <c r="AA24" s="41">
        <f t="shared" si="0"/>
        <v>19934144.098846667</v>
      </c>
      <c r="AB24" s="41">
        <f t="shared" si="0"/>
        <v>20181038.056045253</v>
      </c>
      <c r="AC24" s="41">
        <f t="shared" si="0"/>
        <v>20431015.19354647</v>
      </c>
      <c r="AD24" s="41">
        <f t="shared" si="0"/>
        <v>20684114.345187418</v>
      </c>
      <c r="AE24" s="41">
        <f t="shared" si="0"/>
        <v>20940374.838242944</v>
      </c>
      <c r="AF24" s="41">
        <f t="shared" si="0"/>
        <v>21199836.499751031</v>
      </c>
    </row>
    <row r="25" spans="3:32" x14ac:dyDescent="0.25">
      <c r="C25" s="4" t="s">
        <v>367</v>
      </c>
      <c r="D25" s="5"/>
      <c r="E25" s="5"/>
      <c r="F25" s="12" t="s">
        <v>19</v>
      </c>
      <c r="G25" s="41">
        <f>G14+G23</f>
        <v>15588043.0603614</v>
      </c>
      <c r="H25" s="41">
        <f t="shared" ref="H25:AF25" si="1">H14+H23</f>
        <v>15723276.316801229</v>
      </c>
      <c r="I25" s="41">
        <f t="shared" si="1"/>
        <v>15857013.665597847</v>
      </c>
      <c r="J25" s="41">
        <f t="shared" si="1"/>
        <v>15989030.605405018</v>
      </c>
      <c r="K25" s="41">
        <f t="shared" si="1"/>
        <v>16119086.111123623</v>
      </c>
      <c r="L25" s="41">
        <f t="shared" si="1"/>
        <v>16246921.508913377</v>
      </c>
      <c r="M25" s="41">
        <f t="shared" si="1"/>
        <v>16372259.275611658</v>
      </c>
      <c r="N25" s="41">
        <f t="shared" si="1"/>
        <v>16494801.757492028</v>
      </c>
      <c r="O25" s="41">
        <f t="shared" si="1"/>
        <v>16614229.802955441</v>
      </c>
      <c r="P25" s="41">
        <f t="shared" si="1"/>
        <v>16730201.303384891</v>
      </c>
      <c r="Q25" s="41">
        <f t="shared" si="1"/>
        <v>16842349.636007607</v>
      </c>
      <c r="R25" s="41">
        <f t="shared" si="1"/>
        <v>17051050.629737467</v>
      </c>
      <c r="S25" s="41">
        <f t="shared" si="1"/>
        <v>17262359.171325922</v>
      </c>
      <c r="T25" s="41">
        <f t="shared" si="1"/>
        <v>17476308.120956775</v>
      </c>
      <c r="U25" s="41">
        <f t="shared" si="1"/>
        <v>17692930.756568752</v>
      </c>
      <c r="V25" s="41">
        <f t="shared" si="1"/>
        <v>17912260.779213555</v>
      </c>
      <c r="W25" s="41">
        <f t="shared" si="1"/>
        <v>18134332.318483196</v>
      </c>
      <c r="X25" s="41">
        <f t="shared" si="1"/>
        <v>18359179.938007593</v>
      </c>
      <c r="Y25" s="41">
        <f t="shared" si="1"/>
        <v>18586838.641023297</v>
      </c>
      <c r="Z25" s="41">
        <f t="shared" si="1"/>
        <v>18817343.87601427</v>
      </c>
      <c r="AA25" s="41">
        <f t="shared" si="1"/>
        <v>19050731.542425707</v>
      </c>
      <c r="AB25" s="41">
        <f t="shared" si="1"/>
        <v>19287037.996451817</v>
      </c>
      <c r="AC25" s="41">
        <f t="shared" si="1"/>
        <v>19526300.056898504</v>
      </c>
      <c r="AD25" s="41">
        <f t="shared" si="1"/>
        <v>19768555.011121999</v>
      </c>
      <c r="AE25" s="41">
        <f t="shared" si="1"/>
        <v>20013840.621044375</v>
      </c>
      <c r="AF25" s="41">
        <f t="shared" si="1"/>
        <v>20262195.129246961</v>
      </c>
    </row>
    <row r="26" spans="3:32" x14ac:dyDescent="0.25">
      <c r="C26" s="777" t="s">
        <v>333</v>
      </c>
      <c r="D26" s="778"/>
      <c r="E26" s="778"/>
      <c r="F26" s="778"/>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row>
    <row r="27" spans="3:32" x14ac:dyDescent="0.25">
      <c r="C27" s="2" t="s">
        <v>120</v>
      </c>
      <c r="D27" s="3"/>
      <c r="E27" s="3"/>
      <c r="F27" s="12"/>
      <c r="G27" s="5"/>
      <c r="H27" s="5"/>
      <c r="I27" s="5"/>
      <c r="J27" s="5"/>
      <c r="K27" s="5"/>
      <c r="L27" s="5"/>
      <c r="M27" s="5"/>
      <c r="N27" s="5"/>
      <c r="O27" s="5"/>
      <c r="P27" s="5"/>
      <c r="Q27" s="5"/>
      <c r="R27" s="5"/>
      <c r="S27" s="5"/>
      <c r="T27" s="5"/>
      <c r="U27" s="5"/>
      <c r="V27" s="5"/>
      <c r="W27" s="5"/>
      <c r="X27" s="5"/>
      <c r="Y27" s="5"/>
      <c r="Z27" s="5"/>
      <c r="AA27" s="5"/>
      <c r="AB27" s="5"/>
      <c r="AC27" s="5"/>
      <c r="AD27" s="5"/>
      <c r="AE27" s="5"/>
      <c r="AF27" s="167"/>
    </row>
    <row r="28" spans="3:32" x14ac:dyDescent="0.25">
      <c r="C28" s="4"/>
      <c r="D28" s="5" t="s">
        <v>325</v>
      </c>
      <c r="E28" s="5"/>
      <c r="F28" s="12" t="s">
        <v>119</v>
      </c>
      <c r="G28" s="210">
        <f>'Utility Sector'!E11</f>
        <v>54.51</v>
      </c>
      <c r="H28" s="210">
        <f>G28*IF('Customer Sector'!$F$40,(1+'Utility Sector'!$E$13),(1+'Customer Sector'!$F$42))</f>
        <v>58.053149999999995</v>
      </c>
      <c r="I28" s="210">
        <f>H28*IF('Customer Sector'!$F$40,(1+'Utility Sector'!$E$13),(1+'Customer Sector'!$F$42))</f>
        <v>61.826604749999994</v>
      </c>
      <c r="J28" s="210">
        <f>I28*IF('Customer Sector'!$F$40,(1+'Utility Sector'!$E$13),(1+'Customer Sector'!$F$42))</f>
        <v>65.845334058749984</v>
      </c>
      <c r="K28" s="210">
        <f>J28*IF('Customer Sector'!$F$40,(1+'Utility Sector'!$E$13),(1+'Customer Sector'!$F$42))</f>
        <v>70.125280772568729</v>
      </c>
      <c r="L28" s="210">
        <f>K28*IF('Customer Sector'!$F$40,(1+'Utility Sector'!$E$13),(1+'Customer Sector'!$F$42))</f>
        <v>74.683424022785687</v>
      </c>
      <c r="M28" s="210">
        <f>L28*IF('Customer Sector'!$F$40,(1+'Utility Sector'!$E$13),(1+'Customer Sector'!$F$42))</f>
        <v>79.537846584266759</v>
      </c>
      <c r="N28" s="210">
        <f>M28*IF('Customer Sector'!$F$40,(1+'Utility Sector'!$E$13),(1+'Customer Sector'!$F$42))</f>
        <v>84.707806612244099</v>
      </c>
      <c r="O28" s="210">
        <f>N28*IF('Customer Sector'!$F$40,(1+'Utility Sector'!$E$13),(1+'Customer Sector'!$F$42))</f>
        <v>90.213814042039957</v>
      </c>
      <c r="P28" s="210">
        <f>O28*IF('Customer Sector'!$F$40,(1+'Utility Sector'!$E$13),(1+'Customer Sector'!$F$42))</f>
        <v>96.077711954772553</v>
      </c>
      <c r="Q28" s="210">
        <f>P28*IF('Customer Sector'!$F$40,(1+'Utility Sector'!$E$13),(1+'Customer Sector'!$F$42))</f>
        <v>102.32276323183277</v>
      </c>
      <c r="R28" s="210">
        <f>Q28*IF('Customer Sector'!$F$40,(1+'Utility Sector'!$E$13),(1+'Customer Sector'!$F$42))</f>
        <v>108.9737428419019</v>
      </c>
      <c r="S28" s="210">
        <f>R28*IF('Customer Sector'!$F$40,(1+'Utility Sector'!$E$13),(1+'Customer Sector'!$F$42))</f>
        <v>116.05703612662552</v>
      </c>
      <c r="T28" s="210">
        <f>S28*IF('Customer Sector'!$F$40,(1+'Utility Sector'!$E$13),(1+'Customer Sector'!$F$42))</f>
        <v>123.60074347485617</v>
      </c>
      <c r="U28" s="210">
        <f>T28*IF('Customer Sector'!$F$40,(1+'Utility Sector'!$E$13),(1+'Customer Sector'!$F$42))</f>
        <v>131.63479180072181</v>
      </c>
      <c r="V28" s="210">
        <f>U28*IF('Customer Sector'!$F$40,(1+'Utility Sector'!$E$13),(1+'Customer Sector'!$F$42))</f>
        <v>140.19105326776872</v>
      </c>
      <c r="W28" s="210">
        <f>V28*IF('Customer Sector'!$F$40,(1+'Utility Sector'!$E$13),(1+'Customer Sector'!$F$42))</f>
        <v>149.30347173017367</v>
      </c>
      <c r="X28" s="210">
        <f>W28*IF('Customer Sector'!$F$40,(1+'Utility Sector'!$E$13),(1+'Customer Sector'!$F$42))</f>
        <v>159.00819739263494</v>
      </c>
      <c r="Y28" s="210">
        <f>X28*IF('Customer Sector'!$F$40,(1+'Utility Sector'!$E$13),(1+'Customer Sector'!$F$42))</f>
        <v>169.3437302231562</v>
      </c>
      <c r="Z28" s="210">
        <f>Y28*IF('Customer Sector'!$F$40,(1+'Utility Sector'!$E$13),(1+'Customer Sector'!$F$42))</f>
        <v>180.35107268766134</v>
      </c>
      <c r="AA28" s="210">
        <f>Z28*IF('Customer Sector'!$F$40,(1+'Utility Sector'!$E$13),(1+'Customer Sector'!$F$42))</f>
        <v>192.07389241235933</v>
      </c>
      <c r="AB28" s="210">
        <f>AA28*IF('Customer Sector'!$F$40,(1+'Utility Sector'!$E$13),(1+'Customer Sector'!$F$42))</f>
        <v>204.55869541916266</v>
      </c>
      <c r="AC28" s="210">
        <f>AB28*IF('Customer Sector'!$F$40,(1+'Utility Sector'!$E$13),(1+'Customer Sector'!$F$42))</f>
        <v>217.85501062140821</v>
      </c>
      <c r="AD28" s="210">
        <f>AC28*IF('Customer Sector'!$F$40,(1+'Utility Sector'!$E$13),(1+'Customer Sector'!$F$42))</f>
        <v>232.01558631179972</v>
      </c>
      <c r="AE28" s="210">
        <f>AD28*IF('Customer Sector'!$F$40,(1+'Utility Sector'!$E$13),(1+'Customer Sector'!$F$42))</f>
        <v>247.0965994220667</v>
      </c>
      <c r="AF28" s="210">
        <f>AE28*IF('Customer Sector'!$F$40,(1+'Utility Sector'!$E$13),(1+'Customer Sector'!$F$42))</f>
        <v>263.15787838450103</v>
      </c>
    </row>
    <row r="29" spans="3:32" x14ac:dyDescent="0.25">
      <c r="C29" s="4"/>
      <c r="D29" s="5" t="s">
        <v>326</v>
      </c>
      <c r="E29" s="5"/>
      <c r="F29" s="12" t="s">
        <v>19</v>
      </c>
      <c r="G29" s="210">
        <f>'Utility Sector'!E12</f>
        <v>37.53</v>
      </c>
      <c r="H29" s="210">
        <f>G29*IF('Customer Sector'!$F$40,(1+'Utility Sector'!$E$14),(1+'Customer Sector'!$F$42))</f>
        <v>39.969450000000002</v>
      </c>
      <c r="I29" s="210">
        <f>H29*IF('Customer Sector'!$F$40,(1+'Utility Sector'!$E$14),(1+'Customer Sector'!$F$42))</f>
        <v>42.56746425</v>
      </c>
      <c r="J29" s="210">
        <f>I29*IF('Customer Sector'!$F$40,(1+'Utility Sector'!$E$14),(1+'Customer Sector'!$F$42))</f>
        <v>45.33434942625</v>
      </c>
      <c r="K29" s="210">
        <f>J29*IF('Customer Sector'!$F$40,(1+'Utility Sector'!$E$14),(1+'Customer Sector'!$F$42))</f>
        <v>48.281082138956251</v>
      </c>
      <c r="L29" s="210">
        <f>K29*IF('Customer Sector'!$F$40,(1+'Utility Sector'!$E$14),(1+'Customer Sector'!$F$42))</f>
        <v>51.419352477988404</v>
      </c>
      <c r="M29" s="210">
        <f>L29*IF('Customer Sector'!$F$40,(1+'Utility Sector'!$E$14),(1+'Customer Sector'!$F$42))</f>
        <v>54.761610389057651</v>
      </c>
      <c r="N29" s="210">
        <f>M29*IF('Customer Sector'!$F$40,(1+'Utility Sector'!$E$14),(1+'Customer Sector'!$F$42))</f>
        <v>58.321115064346394</v>
      </c>
      <c r="O29" s="210">
        <f>N29*IF('Customer Sector'!$F$40,(1+'Utility Sector'!$E$14),(1+'Customer Sector'!$F$42))</f>
        <v>62.111987543528905</v>
      </c>
      <c r="P29" s="210">
        <f>O29*IF('Customer Sector'!$F$40,(1+'Utility Sector'!$E$14),(1+'Customer Sector'!$F$42))</f>
        <v>66.149266733858283</v>
      </c>
      <c r="Q29" s="210">
        <f>P29*IF('Customer Sector'!$F$40,(1+'Utility Sector'!$E$14),(1+'Customer Sector'!$F$42))</f>
        <v>70.448969071559063</v>
      </c>
      <c r="R29" s="210">
        <f>Q29*IF('Customer Sector'!$F$40,(1+'Utility Sector'!$E$14),(1+'Customer Sector'!$F$42))</f>
        <v>75.028152061210392</v>
      </c>
      <c r="S29" s="210">
        <f>R29*IF('Customer Sector'!$F$40,(1+'Utility Sector'!$E$14),(1+'Customer Sector'!$F$42))</f>
        <v>79.904981945189064</v>
      </c>
      <c r="T29" s="210">
        <f>S29*IF('Customer Sector'!$F$40,(1+'Utility Sector'!$E$14),(1+'Customer Sector'!$F$42))</f>
        <v>85.098805771626346</v>
      </c>
      <c r="U29" s="210">
        <f>T29*IF('Customer Sector'!$F$40,(1+'Utility Sector'!$E$14),(1+'Customer Sector'!$F$42))</f>
        <v>90.630228146782059</v>
      </c>
      <c r="V29" s="210">
        <f>U29*IF('Customer Sector'!$F$40,(1+'Utility Sector'!$E$14),(1+'Customer Sector'!$F$42))</f>
        <v>96.521192976322894</v>
      </c>
      <c r="W29" s="210">
        <f>V29*IF('Customer Sector'!$F$40,(1+'Utility Sector'!$E$14),(1+'Customer Sector'!$F$42))</f>
        <v>102.79507051978388</v>
      </c>
      <c r="X29" s="210">
        <f>W29*IF('Customer Sector'!$F$40,(1+'Utility Sector'!$E$14),(1+'Customer Sector'!$F$42))</f>
        <v>109.47675010356983</v>
      </c>
      <c r="Y29" s="210">
        <f>X29*IF('Customer Sector'!$F$40,(1+'Utility Sector'!$E$14),(1+'Customer Sector'!$F$42))</f>
        <v>116.59273886030186</v>
      </c>
      <c r="Z29" s="210">
        <f>Y29*IF('Customer Sector'!$F$40,(1+'Utility Sector'!$E$14),(1+'Customer Sector'!$F$42))</f>
        <v>124.17126688622147</v>
      </c>
      <c r="AA29" s="210">
        <f>Z29*IF('Customer Sector'!$F$40,(1+'Utility Sector'!$E$14),(1+'Customer Sector'!$F$42))</f>
        <v>132.24239923382586</v>
      </c>
      <c r="AB29" s="210">
        <f>AA29*IF('Customer Sector'!$F$40,(1+'Utility Sector'!$E$14),(1+'Customer Sector'!$F$42))</f>
        <v>140.83815518402454</v>
      </c>
      <c r="AC29" s="210">
        <f>AB29*IF('Customer Sector'!$F$40,(1+'Utility Sector'!$E$14),(1+'Customer Sector'!$F$42))</f>
        <v>149.99263527098614</v>
      </c>
      <c r="AD29" s="210">
        <f>AC29*IF('Customer Sector'!$F$40,(1+'Utility Sector'!$E$14),(1+'Customer Sector'!$F$42))</f>
        <v>159.74215656360025</v>
      </c>
      <c r="AE29" s="210">
        <f>AD29*IF('Customer Sector'!$F$40,(1+'Utility Sector'!$E$14),(1+'Customer Sector'!$F$42))</f>
        <v>170.12539674023427</v>
      </c>
      <c r="AF29" s="210">
        <f>AE29*IF('Customer Sector'!$F$40,(1+'Utility Sector'!$E$14),(1+'Customer Sector'!$F$42))</f>
        <v>181.18354752834949</v>
      </c>
    </row>
    <row r="30" spans="3:32" x14ac:dyDescent="0.25">
      <c r="C30" s="4"/>
      <c r="D30" s="5" t="s">
        <v>327</v>
      </c>
      <c r="E30" s="5"/>
      <c r="F30" s="12" t="s">
        <v>19</v>
      </c>
      <c r="G30" s="210">
        <f>((G28*(G11+G20))+(G29*(G12+G21)))/(G10+G19)</f>
        <v>38.654246575342469</v>
      </c>
      <c r="H30" s="210">
        <f>((H28*(H11+H20))+(H29*(H12+H21)))/(H10+H19)</f>
        <v>41.164795899602765</v>
      </c>
      <c r="I30" s="210">
        <f t="shared" ref="I30:AF30" si="2">((I28*(I11+I20))+(I29*(I12+I21)))/(I10+I19)</f>
        <v>43.838284236149022</v>
      </c>
      <c r="J30" s="210">
        <f t="shared" si="2"/>
        <v>46.685270372420533</v>
      </c>
      <c r="K30" s="210">
        <f t="shared" si="2"/>
        <v>49.716994992834927</v>
      </c>
      <c r="L30" s="210">
        <f t="shared" si="2"/>
        <v>52.945424359339761</v>
      </c>
      <c r="M30" s="210">
        <f t="shared" si="2"/>
        <v>56.383296730975964</v>
      </c>
      <c r="N30" s="210">
        <f t="shared" si="2"/>
        <v>60.044171683469294</v>
      </c>
      <c r="O30" s="210">
        <f t="shared" si="2"/>
        <v>63.942482497146578</v>
      </c>
      <c r="P30" s="210">
        <f t="shared" si="2"/>
        <v>68.09359178856586</v>
      </c>
      <c r="Q30" s="210">
        <f t="shared" si="2"/>
        <v>72.513850567987092</v>
      </c>
      <c r="R30" s="210">
        <f t="shared" si="2"/>
        <v>77.227280602735206</v>
      </c>
      <c r="S30" s="210">
        <f t="shared" si="2"/>
        <v>82.247085548842691</v>
      </c>
      <c r="T30" s="210">
        <f t="shared" si="2"/>
        <v>87.593179904484259</v>
      </c>
      <c r="U30" s="210">
        <f t="shared" si="2"/>
        <v>93.286772618696219</v>
      </c>
      <c r="V30" s="210">
        <f t="shared" si="2"/>
        <v>99.35045123123983</v>
      </c>
      <c r="W30" s="210">
        <f t="shared" si="2"/>
        <v>105.80827148159243</v>
      </c>
      <c r="X30" s="210">
        <f t="shared" si="2"/>
        <v>112.68585274256191</v>
      </c>
      <c r="Y30" s="210">
        <f t="shared" si="2"/>
        <v>120.01047965712793</v>
      </c>
      <c r="Z30" s="210">
        <f t="shared" si="2"/>
        <v>127.81121038172174</v>
      </c>
      <c r="AA30" s="210">
        <f t="shared" si="2"/>
        <v>136.11899186536675</v>
      </c>
      <c r="AB30" s="210">
        <f t="shared" si="2"/>
        <v>144.9667826220134</v>
      </c>
      <c r="AC30" s="210">
        <f t="shared" si="2"/>
        <v>154.3896834831294</v>
      </c>
      <c r="AD30" s="210">
        <f t="shared" si="2"/>
        <v>164.42507684926545</v>
      </c>
      <c r="AE30" s="210">
        <f t="shared" si="2"/>
        <v>175.11277499303358</v>
      </c>
      <c r="AF30" s="210">
        <f t="shared" si="2"/>
        <v>186.49517800184415</v>
      </c>
    </row>
    <row r="31" spans="3:32" x14ac:dyDescent="0.25">
      <c r="C31" s="4"/>
      <c r="D31" s="5" t="s">
        <v>270</v>
      </c>
      <c r="E31" s="5"/>
      <c r="F31" s="12" t="s">
        <v>19</v>
      </c>
      <c r="G31" s="210">
        <f>((G28*(G8+G17))+(G29*(G9+G18)))/(G7+G16)</f>
        <v>38.654246575342469</v>
      </c>
      <c r="H31" s="210">
        <f t="shared" ref="H31:AF31" si="3">((H28*(H8+H17))+(H29*(H9+H18)))/(H7+H16)</f>
        <v>41.166772602739726</v>
      </c>
      <c r="I31" s="210">
        <f t="shared" si="3"/>
        <v>43.842612821917811</v>
      </c>
      <c r="J31" s="210">
        <f t="shared" si="3"/>
        <v>46.692382655342463</v>
      </c>
      <c r="K31" s="210">
        <f t="shared" si="3"/>
        <v>49.727387527939726</v>
      </c>
      <c r="L31" s="210">
        <f t="shared" si="3"/>
        <v>52.959667717255797</v>
      </c>
      <c r="M31" s="210">
        <f t="shared" si="3"/>
        <v>56.402046118877422</v>
      </c>
      <c r="N31" s="210">
        <f t="shared" si="3"/>
        <v>60.068179116604455</v>
      </c>
      <c r="O31" s="210">
        <f t="shared" si="3"/>
        <v>63.972610759183745</v>
      </c>
      <c r="P31" s="210">
        <f t="shared" si="3"/>
        <v>68.130830458530681</v>
      </c>
      <c r="Q31" s="210">
        <f t="shared" si="3"/>
        <v>72.559334438335171</v>
      </c>
      <c r="R31" s="210">
        <f t="shared" si="3"/>
        <v>77.275691176826939</v>
      </c>
      <c r="S31" s="210">
        <f t="shared" si="3"/>
        <v>82.298611103320695</v>
      </c>
      <c r="T31" s="210">
        <f t="shared" si="3"/>
        <v>87.648020825036525</v>
      </c>
      <c r="U31" s="210">
        <f t="shared" si="3"/>
        <v>93.345142178663906</v>
      </c>
      <c r="V31" s="210">
        <f t="shared" si="3"/>
        <v>99.412576420277063</v>
      </c>
      <c r="W31" s="210">
        <f t="shared" si="3"/>
        <v>105.87439388759508</v>
      </c>
      <c r="X31" s="210">
        <f t="shared" si="3"/>
        <v>112.75622949028873</v>
      </c>
      <c r="Y31" s="210">
        <f t="shared" si="3"/>
        <v>120.08538440715752</v>
      </c>
      <c r="Z31" s="210">
        <f t="shared" si="3"/>
        <v>127.89093439362273</v>
      </c>
      <c r="AA31" s="210">
        <f t="shared" si="3"/>
        <v>136.20384512920822</v>
      </c>
      <c r="AB31" s="210">
        <f t="shared" si="3"/>
        <v>145.05709506260675</v>
      </c>
      <c r="AC31" s="210">
        <f t="shared" si="3"/>
        <v>154.48580624167619</v>
      </c>
      <c r="AD31" s="210">
        <f t="shared" si="3"/>
        <v>164.52738364738514</v>
      </c>
      <c r="AE31" s="210">
        <f t="shared" si="3"/>
        <v>175.22166358446515</v>
      </c>
      <c r="AF31" s="210">
        <f t="shared" si="3"/>
        <v>186.61107171745539</v>
      </c>
    </row>
    <row r="32" spans="3:32" x14ac:dyDescent="0.25">
      <c r="C32" s="4"/>
      <c r="D32" s="11" t="s">
        <v>350</v>
      </c>
      <c r="E32" s="11"/>
      <c r="F32" s="17" t="s">
        <v>18</v>
      </c>
      <c r="G32" s="112">
        <f>(G31/1000)*(G7+G16)</f>
        <v>3134434200.5479455</v>
      </c>
      <c r="H32" s="112">
        <f t="shared" ref="H32:AF32" si="4">(H31/1000)*(H7+H16)</f>
        <v>3379434390.2312679</v>
      </c>
      <c r="I32" s="112">
        <f t="shared" si="4"/>
        <v>3643589229.385097</v>
      </c>
      <c r="J32" s="112">
        <f t="shared" si="4"/>
        <v>3928396620.8869624</v>
      </c>
      <c r="K32" s="112">
        <f t="shared" si="4"/>
        <v>4235471632.0641012</v>
      </c>
      <c r="L32" s="112">
        <f t="shared" si="4"/>
        <v>4566555661.3693333</v>
      </c>
      <c r="M32" s="112">
        <f t="shared" si="4"/>
        <v>4923526322.4096241</v>
      </c>
      <c r="N32" s="112">
        <f t="shared" si="4"/>
        <v>5308408101.4785881</v>
      </c>
      <c r="O32" s="112">
        <f t="shared" si="4"/>
        <v>5723383849.140523</v>
      </c>
      <c r="P32" s="112">
        <f t="shared" si="4"/>
        <v>6170807171.1542454</v>
      </c>
      <c r="Q32" s="112">
        <f t="shared" si="4"/>
        <v>6653215789.1369066</v>
      </c>
      <c r="R32" s="112">
        <f t="shared" si="4"/>
        <v>7173345946.8802061</v>
      </c>
      <c r="S32" s="112">
        <f t="shared" si="4"/>
        <v>7734147944.1754913</v>
      </c>
      <c r="T32" s="112">
        <f t="shared" si="4"/>
        <v>8338802886.4136381</v>
      </c>
      <c r="U32" s="112">
        <f t="shared" si="4"/>
        <v>8990740745.1372337</v>
      </c>
      <c r="V32" s="112">
        <f t="shared" si="4"/>
        <v>9693659832.1753483</v>
      </c>
      <c r="W32" s="112">
        <f t="shared" si="4"/>
        <v>10451547798.02784</v>
      </c>
      <c r="X32" s="112">
        <f t="shared" si="4"/>
        <v>11268704273.832146</v>
      </c>
      <c r="Y32" s="112">
        <f t="shared" si="4"/>
        <v>12149765285.590408</v>
      </c>
      <c r="Z32" s="112">
        <f t="shared" si="4"/>
        <v>13099729579.411512</v>
      </c>
      <c r="AA32" s="112">
        <f t="shared" si="4"/>
        <v>14123987007.388926</v>
      </c>
      <c r="AB32" s="112">
        <f t="shared" si="4"/>
        <v>15228349135.452288</v>
      </c>
      <c r="AC32" s="112">
        <f t="shared" si="4"/>
        <v>16419082247.166025</v>
      </c>
      <c r="AD32" s="112">
        <f t="shared" si="4"/>
        <v>17702942931.073124</v>
      </c>
      <c r="AE32" s="112">
        <f t="shared" si="4"/>
        <v>19087216453.87434</v>
      </c>
      <c r="AF32" s="112">
        <f t="shared" si="4"/>
        <v>20579758137.57642</v>
      </c>
    </row>
    <row r="33" spans="3:32" x14ac:dyDescent="0.25">
      <c r="C33" s="4"/>
      <c r="D33" s="11"/>
      <c r="E33" s="11" t="s">
        <v>334</v>
      </c>
      <c r="F33" s="17" t="s">
        <v>19</v>
      </c>
      <c r="G33" s="112">
        <f>(G7/1000)*G31</f>
        <v>993414136.98630142</v>
      </c>
      <c r="H33" s="112">
        <f t="shared" ref="H33:AF33" si="5">(H7/1000)*H31</f>
        <v>1072797860.6728767</v>
      </c>
      <c r="I33" s="112">
        <f t="shared" si="5"/>
        <v>1158525137.7192464</v>
      </c>
      <c r="J33" s="112">
        <f t="shared" si="5"/>
        <v>1251102881.4743912</v>
      </c>
      <c r="K33" s="112">
        <f t="shared" si="5"/>
        <v>1351078512.7330098</v>
      </c>
      <c r="L33" s="112">
        <f t="shared" si="5"/>
        <v>1459043196.6855044</v>
      </c>
      <c r="M33" s="112">
        <f t="shared" si="5"/>
        <v>1575635338.5326428</v>
      </c>
      <c r="N33" s="112">
        <f t="shared" si="5"/>
        <v>1701544358.4347866</v>
      </c>
      <c r="O33" s="112">
        <f t="shared" si="5"/>
        <v>1837514768.1173103</v>
      </c>
      <c r="P33" s="112">
        <f t="shared" si="5"/>
        <v>1984350573.2375646</v>
      </c>
      <c r="Q33" s="112">
        <f t="shared" si="5"/>
        <v>2142920027.5449781</v>
      </c>
      <c r="R33" s="112">
        <f t="shared" si="5"/>
        <v>2314160766.9460969</v>
      </c>
      <c r="S33" s="112">
        <f t="shared" si="5"/>
        <v>2499085353.8327594</v>
      </c>
      <c r="T33" s="112">
        <f t="shared" si="5"/>
        <v>2698787264.4575348</v>
      </c>
      <c r="U33" s="112">
        <f t="shared" si="5"/>
        <v>2914447354.7603364</v>
      </c>
      <c r="V33" s="112">
        <f t="shared" si="5"/>
        <v>3147340842.8792353</v>
      </c>
      <c r="W33" s="112">
        <f t="shared" si="5"/>
        <v>3398844849.6337152</v>
      </c>
      <c r="X33" s="112">
        <f t="shared" si="5"/>
        <v>3670446541.5679445</v>
      </c>
      <c r="Y33" s="112">
        <f t="shared" si="5"/>
        <v>3963751924.7046394</v>
      </c>
      <c r="Z33" s="112">
        <f t="shared" si="5"/>
        <v>4280495341.0077863</v>
      </c>
      <c r="AA33" s="112">
        <f t="shared" si="5"/>
        <v>4622549723.7077188</v>
      </c>
      <c r="AB33" s="112">
        <f t="shared" si="5"/>
        <v>4991937672.1292019</v>
      </c>
      <c r="AC33" s="112">
        <f t="shared" si="5"/>
        <v>5390843411.5090466</v>
      </c>
      <c r="AD33" s="112">
        <f t="shared" si="5"/>
        <v>5821625708.5227337</v>
      </c>
      <c r="AE33" s="112">
        <f t="shared" si="5"/>
        <v>6286831818.8907852</v>
      </c>
      <c r="AF33" s="112">
        <f t="shared" si="5"/>
        <v>6789212549.5383492</v>
      </c>
    </row>
    <row r="34" spans="3:32" x14ac:dyDescent="0.25">
      <c r="C34" s="4"/>
      <c r="D34" s="11"/>
      <c r="E34" s="11" t="s">
        <v>335</v>
      </c>
      <c r="F34" s="17" t="s">
        <v>19</v>
      </c>
      <c r="G34" s="112">
        <f>(G16/1000)*G31</f>
        <v>2141020063.5616441</v>
      </c>
      <c r="H34" s="112">
        <f t="shared" ref="H34:AF34" si="6">(H16/1000)*H31</f>
        <v>2306636529.5583911</v>
      </c>
      <c r="I34" s="112">
        <f t="shared" si="6"/>
        <v>2485064091.6658516</v>
      </c>
      <c r="J34" s="112">
        <f t="shared" si="6"/>
        <v>2677293739.4125714</v>
      </c>
      <c r="K34" s="112">
        <f t="shared" si="6"/>
        <v>2884393119.3310914</v>
      </c>
      <c r="L34" s="112">
        <f t="shared" si="6"/>
        <v>3107512464.6838284</v>
      </c>
      <c r="M34" s="112">
        <f t="shared" si="6"/>
        <v>3347890983.8769813</v>
      </c>
      <c r="N34" s="112">
        <f t="shared" si="6"/>
        <v>3606863743.0438018</v>
      </c>
      <c r="O34" s="112">
        <f t="shared" si="6"/>
        <v>3885869081.0232124</v>
      </c>
      <c r="P34" s="112">
        <f t="shared" si="6"/>
        <v>4186456597.9166813</v>
      </c>
      <c r="Q34" s="112">
        <f t="shared" si="6"/>
        <v>4510295761.5919285</v>
      </c>
      <c r="R34" s="112">
        <f t="shared" si="6"/>
        <v>4859185179.9341087</v>
      </c>
      <c r="S34" s="112">
        <f t="shared" si="6"/>
        <v>5235062590.3427334</v>
      </c>
      <c r="T34" s="112">
        <f t="shared" si="6"/>
        <v>5640015621.9561033</v>
      </c>
      <c r="U34" s="112">
        <f t="shared" si="6"/>
        <v>6076293390.3768969</v>
      </c>
      <c r="V34" s="112">
        <f t="shared" si="6"/>
        <v>6546318989.2961121</v>
      </c>
      <c r="W34" s="112">
        <f t="shared" si="6"/>
        <v>7052702948.394124</v>
      </c>
      <c r="X34" s="112">
        <f t="shared" si="6"/>
        <v>7598257732.2642012</v>
      </c>
      <c r="Y34" s="112">
        <f t="shared" si="6"/>
        <v>8186013360.8857689</v>
      </c>
      <c r="Z34" s="112">
        <f t="shared" si="6"/>
        <v>8819234238.4037247</v>
      </c>
      <c r="AA34" s="112">
        <f t="shared" si="6"/>
        <v>9501437283.6812096</v>
      </c>
      <c r="AB34" s="112">
        <f t="shared" si="6"/>
        <v>10236411463.323086</v>
      </c>
      <c r="AC34" s="112">
        <f t="shared" si="6"/>
        <v>11028238835.656981</v>
      </c>
      <c r="AD34" s="112">
        <f t="shared" si="6"/>
        <v>11881317222.550392</v>
      </c>
      <c r="AE34" s="112">
        <f t="shared" si="6"/>
        <v>12800384634.983553</v>
      </c>
      <c r="AF34" s="112">
        <f t="shared" si="6"/>
        <v>13790545588.038071</v>
      </c>
    </row>
    <row r="35" spans="3:32" x14ac:dyDescent="0.25">
      <c r="C35" s="4"/>
      <c r="D35" s="51" t="s">
        <v>351</v>
      </c>
      <c r="E35" s="51"/>
      <c r="F35" s="52" t="s">
        <v>18</v>
      </c>
      <c r="G35" s="324">
        <f>(G30/1000)*(G10+G19)</f>
        <v>3134434200.5479455</v>
      </c>
      <c r="H35" s="324">
        <f t="shared" ref="H35:AF35" si="7">(H30/1000)*(H10+H19)</f>
        <v>3366970885.2826471</v>
      </c>
      <c r="I35" s="324">
        <f t="shared" si="7"/>
        <v>3616140504.0311022</v>
      </c>
      <c r="J35" s="324">
        <f t="shared" si="7"/>
        <v>3883044431.8260608</v>
      </c>
      <c r="K35" s="324">
        <f t="shared" si="7"/>
        <v>4168843907.1211543</v>
      </c>
      <c r="L35" s="324">
        <f t="shared" si="7"/>
        <v>4474761200.1836224</v>
      </c>
      <c r="M35" s="324">
        <f t="shared" si="7"/>
        <v>4802080398.9508724</v>
      </c>
      <c r="N35" s="324">
        <f t="shared" si="7"/>
        <v>5152147718.1977634</v>
      </c>
      <c r="O35" s="324">
        <f t="shared" si="7"/>
        <v>5526371221.7678156</v>
      </c>
      <c r="P35" s="324">
        <f t="shared" si="7"/>
        <v>5926219829.0809479</v>
      </c>
      <c r="Q35" s="324">
        <f t="shared" si="7"/>
        <v>6353221455.789525</v>
      </c>
      <c r="R35" s="324">
        <f t="shared" si="7"/>
        <v>6850026224.6248455</v>
      </c>
      <c r="S35" s="324">
        <f t="shared" si="7"/>
        <v>7385688961.4653187</v>
      </c>
      <c r="T35" s="324">
        <f t="shared" si="7"/>
        <v>7963249697.5894728</v>
      </c>
      <c r="U35" s="324">
        <f t="shared" si="7"/>
        <v>8585986356.7379971</v>
      </c>
      <c r="V35" s="324">
        <f t="shared" si="7"/>
        <v>9257433375.5118046</v>
      </c>
      <c r="W35" s="324">
        <f t="shared" si="7"/>
        <v>9981401781.5899067</v>
      </c>
      <c r="X35" s="324">
        <f t="shared" si="7"/>
        <v>10762000843.930244</v>
      </c>
      <c r="Y35" s="324">
        <f t="shared" si="7"/>
        <v>11603661418.059235</v>
      </c>
      <c r="Z35" s="324">
        <f t="shared" si="7"/>
        <v>12511161119.198732</v>
      </c>
      <c r="AA35" s="324">
        <f t="shared" si="7"/>
        <v>13489651466.377907</v>
      </c>
      <c r="AB35" s="324">
        <f t="shared" si="7"/>
        <v>14544687151.890856</v>
      </c>
      <c r="AC35" s="324">
        <f t="shared" si="7"/>
        <v>15682257602.552853</v>
      </c>
      <c r="AD35" s="324">
        <f t="shared" si="7"/>
        <v>16908821012.247669</v>
      </c>
      <c r="AE35" s="324">
        <f t="shared" si="7"/>
        <v>18231341039.319611</v>
      </c>
      <c r="AF35" s="324">
        <f t="shared" si="7"/>
        <v>19657326377.527134</v>
      </c>
    </row>
    <row r="36" spans="3:32" x14ac:dyDescent="0.25">
      <c r="C36" s="4"/>
      <c r="D36" s="51"/>
      <c r="E36" s="51" t="s">
        <v>336</v>
      </c>
      <c r="F36" s="52" t="s">
        <v>19</v>
      </c>
      <c r="G36" s="324">
        <f>(G10/1000)*G30</f>
        <v>993414136.98630142</v>
      </c>
      <c r="H36" s="324">
        <f t="shared" ref="H36:AF36" si="8">(H10/1000)*H30</f>
        <v>1070365376.3896351</v>
      </c>
      <c r="I36" s="324">
        <f t="shared" si="8"/>
        <v>1153281224.7439942</v>
      </c>
      <c r="J36" s="324">
        <f t="shared" si="8"/>
        <v>1242624075.4526618</v>
      </c>
      <c r="K36" s="324">
        <f t="shared" si="8"/>
        <v>1338892135.7307897</v>
      </c>
      <c r="L36" s="324">
        <f t="shared" si="8"/>
        <v>1442622191.5415485</v>
      </c>
      <c r="M36" s="324">
        <f t="shared" si="8"/>
        <v>1554392584.1005297</v>
      </c>
      <c r="N36" s="324">
        <f t="shared" si="8"/>
        <v>1674826413.748199</v>
      </c>
      <c r="O36" s="324">
        <f t="shared" si="8"/>
        <v>1804594988.0861788</v>
      </c>
      <c r="P36" s="324">
        <f t="shared" si="8"/>
        <v>1944421532.4252763</v>
      </c>
      <c r="Q36" s="324">
        <f t="shared" si="8"/>
        <v>2095085181.7989075</v>
      </c>
      <c r="R36" s="324">
        <f t="shared" si="8"/>
        <v>2262504310.1896162</v>
      </c>
      <c r="S36" s="324">
        <f t="shared" si="8"/>
        <v>2443301971.5299268</v>
      </c>
      <c r="T36" s="324">
        <f t="shared" si="8"/>
        <v>2638547250.0721378</v>
      </c>
      <c r="U36" s="324">
        <f t="shared" si="8"/>
        <v>2849394661.0499139</v>
      </c>
      <c r="V36" s="324">
        <f t="shared" si="8"/>
        <v>3077090977.5050077</v>
      </c>
      <c r="W36" s="324">
        <f t="shared" si="8"/>
        <v>3322982602.6487012</v>
      </c>
      <c r="X36" s="324">
        <f t="shared" si="8"/>
        <v>3588523531.3518662</v>
      </c>
      <c r="Y36" s="324">
        <f t="shared" si="8"/>
        <v>3875283947.8411875</v>
      </c>
      <c r="Z36" s="324">
        <f t="shared" si="8"/>
        <v>4184959510.4410467</v>
      </c>
      <c r="AA36" s="324">
        <f t="shared" si="8"/>
        <v>4519381378.2632103</v>
      </c>
      <c r="AB36" s="324">
        <f t="shared" si="8"/>
        <v>4880527039.1336765</v>
      </c>
      <c r="AC36" s="324">
        <f t="shared" si="8"/>
        <v>5270532002.7839155</v>
      </c>
      <c r="AD36" s="324">
        <f t="shared" si="8"/>
        <v>5691702428.4501514</v>
      </c>
      <c r="AE36" s="324">
        <f t="shared" si="8"/>
        <v>6146528761.5496473</v>
      </c>
      <c r="AF36" s="324">
        <f t="shared" si="8"/>
        <v>6637700460.0697937</v>
      </c>
    </row>
    <row r="37" spans="3:32" x14ac:dyDescent="0.25">
      <c r="C37" s="4"/>
      <c r="D37" s="51"/>
      <c r="E37" s="51" t="s">
        <v>337</v>
      </c>
      <c r="F37" s="52" t="s">
        <v>19</v>
      </c>
      <c r="G37" s="324">
        <f>(G19/1000)*G30</f>
        <v>2141020063.5616441</v>
      </c>
      <c r="H37" s="324">
        <f t="shared" ref="H37:AF37" si="9">(H19/1000)*H30</f>
        <v>2296605508.893012</v>
      </c>
      <c r="I37" s="324">
        <f t="shared" si="9"/>
        <v>2462859279.2871079</v>
      </c>
      <c r="J37" s="324">
        <f t="shared" si="9"/>
        <v>2640420356.3733993</v>
      </c>
      <c r="K37" s="324">
        <f t="shared" si="9"/>
        <v>2829951771.3903651</v>
      </c>
      <c r="L37" s="324">
        <f t="shared" si="9"/>
        <v>3032139008.6420741</v>
      </c>
      <c r="M37" s="324">
        <f t="shared" si="9"/>
        <v>3247687814.8503428</v>
      </c>
      <c r="N37" s="324">
        <f t="shared" si="9"/>
        <v>3477321304.4495645</v>
      </c>
      <c r="O37" s="324">
        <f t="shared" si="9"/>
        <v>3721776233.6816363</v>
      </c>
      <c r="P37" s="324">
        <f t="shared" si="9"/>
        <v>3981798296.6556716</v>
      </c>
      <c r="Q37" s="324">
        <f t="shared" si="9"/>
        <v>4258136273.9906173</v>
      </c>
      <c r="R37" s="324">
        <f t="shared" si="9"/>
        <v>4587521914.4352293</v>
      </c>
      <c r="S37" s="324">
        <f t="shared" si="9"/>
        <v>4942386989.9353914</v>
      </c>
      <c r="T37" s="324">
        <f t="shared" si="9"/>
        <v>5324702447.5173349</v>
      </c>
      <c r="U37" s="324">
        <f t="shared" si="9"/>
        <v>5736591695.6880827</v>
      </c>
      <c r="V37" s="324">
        <f t="shared" si="9"/>
        <v>6180342398.0067968</v>
      </c>
      <c r="W37" s="324">
        <f t="shared" si="9"/>
        <v>6658419178.9412041</v>
      </c>
      <c r="X37" s="324">
        <f t="shared" si="9"/>
        <v>7173477312.5783777</v>
      </c>
      <c r="Y37" s="324">
        <f t="shared" si="9"/>
        <v>7728377470.2180481</v>
      </c>
      <c r="Z37" s="324">
        <f t="shared" si="9"/>
        <v>8326201608.7576857</v>
      </c>
      <c r="AA37" s="324">
        <f t="shared" si="9"/>
        <v>8970270088.1146965</v>
      </c>
      <c r="AB37" s="324">
        <f t="shared" si="9"/>
        <v>9664160112.7571774</v>
      </c>
      <c r="AC37" s="324">
        <f t="shared" si="9"/>
        <v>10411725599.76894</v>
      </c>
      <c r="AD37" s="324">
        <f t="shared" si="9"/>
        <v>11217118583.79752</v>
      </c>
      <c r="AE37" s="324">
        <f t="shared" si="9"/>
        <v>12084812277.769964</v>
      </c>
      <c r="AF37" s="324">
        <f t="shared" si="9"/>
        <v>13019625917.457342</v>
      </c>
    </row>
    <row r="38" spans="3:32" x14ac:dyDescent="0.25">
      <c r="C38" s="779" t="s">
        <v>332</v>
      </c>
      <c r="D38" s="780"/>
      <c r="E38" s="780"/>
      <c r="F38" s="780"/>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row>
    <row r="39" spans="3:32" x14ac:dyDescent="0.25">
      <c r="C39" s="4" t="s">
        <v>118</v>
      </c>
      <c r="D39" s="5"/>
      <c r="E39" s="5"/>
      <c r="F39" s="12" t="s">
        <v>18</v>
      </c>
      <c r="G39" s="199">
        <f>'Utility Sector'!E6*1000000</f>
        <v>19475000000</v>
      </c>
      <c r="H39" s="199">
        <f t="shared" ref="H39:AF39" si="10">H47-H50-H52</f>
        <v>20310337101.599998</v>
      </c>
      <c r="I39" s="199">
        <f t="shared" si="10"/>
        <v>20765898405.203999</v>
      </c>
      <c r="J39" s="199">
        <f t="shared" si="10"/>
        <v>21248922269.542259</v>
      </c>
      <c r="K39" s="199">
        <f t="shared" si="10"/>
        <v>21761193761.062508</v>
      </c>
      <c r="L39" s="199">
        <f t="shared" si="10"/>
        <v>22304613975.531567</v>
      </c>
      <c r="M39" s="199">
        <f t="shared" si="10"/>
        <v>22881207579.941116</v>
      </c>
      <c r="N39" s="199">
        <f t="shared" si="10"/>
        <v>23493130844.637291</v>
      </c>
      <c r="O39" s="199">
        <f t="shared" si="10"/>
        <v>24142680197.538712</v>
      </c>
      <c r="P39" s="199">
        <f t="shared" si="10"/>
        <v>24832301334.378735</v>
      </c>
      <c r="Q39" s="199">
        <f t="shared" si="10"/>
        <v>25564598921.11335</v>
      </c>
      <c r="R39" s="199">
        <f t="shared" si="10"/>
        <v>26342346926.985714</v>
      </c>
      <c r="S39" s="199">
        <f t="shared" si="10"/>
        <v>27168499629.239796</v>
      </c>
      <c r="T39" s="199">
        <f t="shared" si="10"/>
        <v>28046203333.140381</v>
      </c>
      <c r="U39" s="199">
        <f t="shared" si="10"/>
        <v>28978808853.794498</v>
      </c>
      <c r="V39" s="199">
        <f t="shared" si="10"/>
        <v>29969884809.291138</v>
      </c>
      <c r="W39" s="199">
        <f t="shared" si="10"/>
        <v>31023231777.895065</v>
      </c>
      <c r="X39" s="199">
        <f t="shared" si="10"/>
        <v>32142897375.458241</v>
      </c>
      <c r="Y39" s="199">
        <f t="shared" si="10"/>
        <v>33333192312.863014</v>
      </c>
      <c r="Z39" s="199">
        <f t="shared" si="10"/>
        <v>34598707497.199104</v>
      </c>
      <c r="AA39" s="199">
        <f t="shared" si="10"/>
        <v>35944332244.517052</v>
      </c>
      <c r="AB39" s="199">
        <f t="shared" si="10"/>
        <v>37375273676.410645</v>
      </c>
      <c r="AC39" s="199">
        <f t="shared" si="10"/>
        <v>38897077377.377365</v>
      </c>
      <c r="AD39" s="199">
        <f t="shared" si="10"/>
        <v>40515649394.906876</v>
      </c>
      <c r="AE39" s="199">
        <f t="shared" si="10"/>
        <v>42237279669.575813</v>
      </c>
      <c r="AF39" s="199">
        <f t="shared" si="10"/>
        <v>44068666988.098236</v>
      </c>
    </row>
    <row r="40" spans="3:32" x14ac:dyDescent="0.25">
      <c r="C40" s="4"/>
      <c r="D40" s="5" t="s">
        <v>117</v>
      </c>
      <c r="E40" s="5"/>
      <c r="F40" s="12" t="s">
        <v>19</v>
      </c>
      <c r="G40" s="199">
        <f>'Utility Sector'!E7*1000000+(SUM(G157:G161)*1000000)</f>
        <v>1315000000</v>
      </c>
      <c r="H40" s="199">
        <f>(G40-(SUM(G157:G161)*1000000))*(1+'Utility Sector'!$E$8)+(SUM(H157:H161)*1000000)</f>
        <v>1400475000</v>
      </c>
      <c r="I40" s="199">
        <f>(H40-(SUM(H157:H161)*1000000))*(1+'Utility Sector'!$E$8)+(SUM(I157:I161)*1000000)</f>
        <v>1491505875</v>
      </c>
      <c r="J40" s="199">
        <f>(I40-(SUM(I157:I161)*1000000))*(1+'Utility Sector'!$E$8)+(SUM(J157:J161)*1000000)</f>
        <v>1588453756.875</v>
      </c>
      <c r="K40" s="199">
        <f>(J40-(SUM(J157:J161)*1000000))*(1+'Utility Sector'!$E$8)+(SUM(K157:K161)*1000000)</f>
        <v>1691703251.0718749</v>
      </c>
      <c r="L40" s="199">
        <f>(K40-(SUM(K157:K161)*1000000))*(1+'Utility Sector'!$E$8)+(SUM(L157:L161)*1000000)</f>
        <v>1801663962.3915467</v>
      </c>
      <c r="M40" s="199">
        <f>(L40-(SUM(L157:L161)*1000000))*(1+'Utility Sector'!$E$8)+(SUM(M157:M161)*1000000)</f>
        <v>1918772119.9469972</v>
      </c>
      <c r="N40" s="199">
        <f>(M40-(SUM(M157:M161)*1000000))*(1+'Utility Sector'!$E$8)+(SUM(N157:N161)*1000000)</f>
        <v>2043492307.743552</v>
      </c>
      <c r="O40" s="199">
        <f>(N40-(SUM(N157:N161)*1000000))*(1+'Utility Sector'!$E$8)+(SUM(O157:O161)*1000000)</f>
        <v>2176319307.7468829</v>
      </c>
      <c r="P40" s="199">
        <f>(O40-(SUM(O157:O161)*1000000))*(1+'Utility Sector'!$E$8)+(SUM(P157:P161)*1000000)</f>
        <v>2317780062.7504301</v>
      </c>
      <c r="Q40" s="199">
        <f>(P40-(SUM(P157:P161)*1000000))*(1+'Utility Sector'!$E$8)+(SUM(Q157:Q161)*1000000)</f>
        <v>2468435766.8292079</v>
      </c>
      <c r="R40" s="199">
        <f>(Q40-(SUM(Q157:Q161)*1000000))*(1+'Utility Sector'!$E$8)+(SUM(R157:R161)*1000000)</f>
        <v>2628884091.6731062</v>
      </c>
      <c r="S40" s="199">
        <f>(R40-(SUM(R157:R161)*1000000))*(1+'Utility Sector'!$E$8)+(SUM(S157:S161)*1000000)</f>
        <v>2799761557.6318579</v>
      </c>
      <c r="T40" s="199">
        <f>(S40-(SUM(S157:S161)*1000000))*(1+'Utility Sector'!$E$8)+(SUM(T157:T161)*1000000)</f>
        <v>2981746058.8779283</v>
      </c>
      <c r="U40" s="199">
        <f>(T40-(SUM(T157:T161)*1000000))*(1+'Utility Sector'!$E$8)+(SUM(U157:U161)*1000000)</f>
        <v>3175559552.7049932</v>
      </c>
      <c r="V40" s="199">
        <f>(U40-(SUM(U157:U161)*1000000))*(1+'Utility Sector'!$E$8)+(SUM(V157:V161)*1000000)</f>
        <v>3381970923.6308174</v>
      </c>
      <c r="W40" s="199">
        <f>(V40-(SUM(V157:V161)*1000000))*(1+'Utility Sector'!$E$8)+(SUM(W157:W161)*1000000)</f>
        <v>3601799033.6668205</v>
      </c>
      <c r="X40" s="199">
        <f>(W40-(SUM(W157:W161)*1000000))*(1+'Utility Sector'!$E$8)+(SUM(X157:X161)*1000000)</f>
        <v>3835915970.8551636</v>
      </c>
      <c r="Y40" s="199">
        <f>(X40-(SUM(X157:X161)*1000000))*(1+'Utility Sector'!$E$8)+(SUM(Y157:Y161)*1000000)</f>
        <v>4085250508.9607491</v>
      </c>
      <c r="Z40" s="199">
        <f>(Y40-(SUM(Y157:Y161)*1000000))*(1+'Utility Sector'!$E$8)+(SUM(Z157:Z161)*1000000)</f>
        <v>4350791792.0431976</v>
      </c>
      <c r="AA40" s="199">
        <f>(Z40-(SUM(Z157:Z161)*1000000))*(1+'Utility Sector'!$E$8)+(SUM(AA157:AA161)*1000000)</f>
        <v>4633593258.5260048</v>
      </c>
      <c r="AB40" s="199">
        <f>(AA40-(SUM(AA157:AA161)*1000000))*(1+'Utility Sector'!$E$8)+(SUM(AB157:AB161)*1000000)</f>
        <v>4934776820.3301945</v>
      </c>
      <c r="AC40" s="199">
        <f>(AB40-(SUM(AB157:AB161)*1000000))*(1+'Utility Sector'!$E$8)+(SUM(AC157:AC161)*1000000)</f>
        <v>5255537313.6516571</v>
      </c>
      <c r="AD40" s="199">
        <f>(AC40-(SUM(AC157:AC161)*1000000))*(1+'Utility Sector'!$E$8)+(SUM(AD157:AD161)*1000000)</f>
        <v>5597147239.0390148</v>
      </c>
      <c r="AE40" s="199">
        <f>(AD40-(SUM(AD157:AD161)*1000000))*(1+'Utility Sector'!$E$8)+(SUM(AE157:AE161)*1000000)</f>
        <v>5960961809.5765505</v>
      </c>
      <c r="AF40" s="199">
        <f>(AE40-(SUM(AE157:AE161)*1000000))*(1+'Utility Sector'!$E$8)+(SUM(AF157:AF161)*1000000)</f>
        <v>6348424327.1990261</v>
      </c>
    </row>
    <row r="41" spans="3:32" x14ac:dyDescent="0.25">
      <c r="C41" s="4"/>
      <c r="D41" s="51" t="s">
        <v>323</v>
      </c>
      <c r="E41" s="51"/>
      <c r="F41" s="52" t="s">
        <v>19</v>
      </c>
      <c r="G41" s="274">
        <f>G39*'Utility Sector'!$E$19</f>
        <v>8958500000</v>
      </c>
      <c r="H41" s="274">
        <f>H39*'Utility Sector'!$E$19</f>
        <v>9342755066.7359982</v>
      </c>
      <c r="I41" s="274">
        <f>I39*'Utility Sector'!$E$19</f>
        <v>9552313266.3938389</v>
      </c>
      <c r="J41" s="274">
        <f>J39*'Utility Sector'!$E$19</f>
        <v>9774504243.989439</v>
      </c>
      <c r="K41" s="274">
        <f>K39*'Utility Sector'!$E$19</f>
        <v>10010149130.088753</v>
      </c>
      <c r="L41" s="274">
        <f>L39*'Utility Sector'!$E$19</f>
        <v>10260122428.74452</v>
      </c>
      <c r="M41" s="274">
        <f>M39*'Utility Sector'!$E$19</f>
        <v>10525355486.772913</v>
      </c>
      <c r="N41" s="274">
        <f>N39*'Utility Sector'!$E$19</f>
        <v>10806840188.533154</v>
      </c>
      <c r="O41" s="274">
        <f>O39*'Utility Sector'!$E$19</f>
        <v>11105632890.867807</v>
      </c>
      <c r="P41" s="274">
        <f>P39*'Utility Sector'!$E$19</f>
        <v>11422858613.814217</v>
      </c>
      <c r="Q41" s="274">
        <f>Q39*'Utility Sector'!$E$19</f>
        <v>11759715503.712139</v>
      </c>
      <c r="R41" s="274">
        <f>R39*'Utility Sector'!$E$19</f>
        <v>12117479586.413427</v>
      </c>
      <c r="S41" s="274">
        <f>S39*'Utility Sector'!$E$19</f>
        <v>12497509829.450306</v>
      </c>
      <c r="T41" s="274">
        <f>T39*'Utility Sector'!$E$19</f>
        <v>12901253533.244574</v>
      </c>
      <c r="U41" s="274">
        <f>U39*'Utility Sector'!$E$19</f>
        <v>13330252072.745468</v>
      </c>
      <c r="V41" s="274">
        <f>V39*'Utility Sector'!$E$19</f>
        <v>13786147012.273922</v>
      </c>
      <c r="W41" s="274">
        <f>W39*'Utility Sector'!$E$19</f>
        <v>14270686617.83173</v>
      </c>
      <c r="X41" s="274">
        <f>X39*'Utility Sector'!$E$19</f>
        <v>14785732792.710789</v>
      </c>
      <c r="Y41" s="274">
        <f>Y39*'Utility Sector'!$E$19</f>
        <v>15333268463.916985</v>
      </c>
      <c r="Z41" s="274">
        <f>Z39*'Utility Sector'!$E$19</f>
        <v>15915405448.711586</v>
      </c>
      <c r="AA41" s="274">
        <f>AA39*'Utility Sector'!$E$19</f>
        <v>16534392832.477842</v>
      </c>
      <c r="AB41" s="274">
        <f>AB39*'Utility Sector'!$E$19</f>
        <v>17192625891.148895</v>
      </c>
      <c r="AC41" s="274">
        <f>AC39*'Utility Sector'!$E$19</f>
        <v>17892655593.593586</v>
      </c>
      <c r="AD41" s="274">
        <f>AD39*'Utility Sector'!$E$19</f>
        <v>18637198721.657162</v>
      </c>
      <c r="AE41" s="274">
        <f>AE39*'Utility Sector'!$E$19</f>
        <v>19429148648.004871</v>
      </c>
      <c r="AF41" s="284">
        <f>AF39*'Utility Sector'!$E$19</f>
        <v>20271586814.525188</v>
      </c>
    </row>
    <row r="42" spans="3:32" x14ac:dyDescent="0.25">
      <c r="C42" s="4"/>
      <c r="D42" s="51"/>
      <c r="E42" s="51" t="s">
        <v>429</v>
      </c>
      <c r="F42" s="52" t="s">
        <v>19</v>
      </c>
      <c r="G42" s="274">
        <f>'Utility Sector'!$E$20*G41</f>
        <v>378048700</v>
      </c>
      <c r="H42" s="274">
        <f>'Utility Sector'!$E$20*H41</f>
        <v>394264263.81625915</v>
      </c>
      <c r="I42" s="274">
        <f>'Utility Sector'!$E$20*I41</f>
        <v>403107619.84182</v>
      </c>
      <c r="J42" s="274">
        <f>'Utility Sector'!$E$20*J41</f>
        <v>412484079.09635437</v>
      </c>
      <c r="K42" s="274">
        <f>'Utility Sector'!$E$20*K41</f>
        <v>422428293.28974539</v>
      </c>
      <c r="L42" s="274">
        <f>'Utility Sector'!$E$20*L41</f>
        <v>432977166.49301875</v>
      </c>
      <c r="M42" s="274">
        <f>'Utility Sector'!$E$20*M41</f>
        <v>444170001.54181695</v>
      </c>
      <c r="N42" s="274">
        <f>'Utility Sector'!$E$20*N41</f>
        <v>456048655.95609909</v>
      </c>
      <c r="O42" s="274">
        <f>'Utility Sector'!$E$20*O41</f>
        <v>468657707.99462152</v>
      </c>
      <c r="P42" s="274">
        <f>'Utility Sector'!$E$20*P41</f>
        <v>482044633.50295997</v>
      </c>
      <c r="Q42" s="274">
        <f>'Utility Sector'!$E$20*Q41</f>
        <v>496259994.2566523</v>
      </c>
      <c r="R42" s="274">
        <f>'Utility Sector'!$E$20*R41</f>
        <v>511357638.54664665</v>
      </c>
      <c r="S42" s="274">
        <f>'Utility Sector'!$E$20*S41</f>
        <v>527394914.80280292</v>
      </c>
      <c r="T42" s="274">
        <f>'Utility Sector'!$E$20*T41</f>
        <v>544432899.10292101</v>
      </c>
      <c r="U42" s="274">
        <f>'Utility Sector'!$E$20*U41</f>
        <v>562536637.46985877</v>
      </c>
      <c r="V42" s="274">
        <f>'Utility Sector'!$E$20*V41</f>
        <v>581775403.91795957</v>
      </c>
      <c r="W42" s="274">
        <f>'Utility Sector'!$E$20*W41</f>
        <v>602222975.27249897</v>
      </c>
      <c r="X42" s="274">
        <f>'Utility Sector'!$E$20*X41</f>
        <v>623957923.8523953</v>
      </c>
      <c r="Y42" s="274">
        <f>'Utility Sector'!$E$20*Y41</f>
        <v>647063929.17729676</v>
      </c>
      <c r="Z42" s="274">
        <f>'Utility Sector'!$E$20*Z41</f>
        <v>671630109.93562901</v>
      </c>
      <c r="AA42" s="274">
        <f>'Utility Sector'!$E$20*AA41</f>
        <v>697751377.53056502</v>
      </c>
      <c r="AB42" s="274">
        <f>'Utility Sector'!$E$20*AB41</f>
        <v>725528812.60648346</v>
      </c>
      <c r="AC42" s="274">
        <f>'Utility Sector'!$E$20*AC41</f>
        <v>755070066.04964936</v>
      </c>
      <c r="AD42" s="274">
        <f>'Utility Sector'!$E$20*AD41</f>
        <v>786489786.05393231</v>
      </c>
      <c r="AE42" s="274">
        <f>'Utility Sector'!$E$20*AE41</f>
        <v>819910072.94580555</v>
      </c>
      <c r="AF42" s="284">
        <f>'Utility Sector'!$E$20*AF41</f>
        <v>855460963.572963</v>
      </c>
    </row>
    <row r="43" spans="3:32" x14ac:dyDescent="0.25">
      <c r="C43" s="4"/>
      <c r="D43" s="321" t="s">
        <v>324</v>
      </c>
      <c r="E43" s="321"/>
      <c r="F43" s="322" t="s">
        <v>19</v>
      </c>
      <c r="G43" s="323">
        <f>G39*'Utility Sector'!$E$17</f>
        <v>10516500000</v>
      </c>
      <c r="H43" s="323">
        <f>H39*'Utility Sector'!$E$17</f>
        <v>10967582034.864</v>
      </c>
      <c r="I43" s="323">
        <f>I39*'Utility Sector'!$E$17</f>
        <v>11213585138.81016</v>
      </c>
      <c r="J43" s="323">
        <f>J39*'Utility Sector'!$E$17</f>
        <v>11474418025.55282</v>
      </c>
      <c r="K43" s="323">
        <f>K39*'Utility Sector'!$E$17</f>
        <v>11751044630.973755</v>
      </c>
      <c r="L43" s="323">
        <f>L39*'Utility Sector'!$E$17</f>
        <v>12044491546.787046</v>
      </c>
      <c r="M43" s="323">
        <f>M39*'Utility Sector'!$E$17</f>
        <v>12355852093.168203</v>
      </c>
      <c r="N43" s="323">
        <f>N39*'Utility Sector'!$E$17</f>
        <v>12686290656.104137</v>
      </c>
      <c r="O43" s="323">
        <f>O39*'Utility Sector'!$E$17</f>
        <v>13037047306.670904</v>
      </c>
      <c r="P43" s="323">
        <f>P39*'Utility Sector'!$E$17</f>
        <v>13409442720.564518</v>
      </c>
      <c r="Q43" s="323">
        <f>Q39*'Utility Sector'!$E$17</f>
        <v>13804883417.401211</v>
      </c>
      <c r="R43" s="323">
        <f>R39*'Utility Sector'!$E$17</f>
        <v>14224867340.572287</v>
      </c>
      <c r="S43" s="323">
        <f>S39*'Utility Sector'!$E$17</f>
        <v>14670989799.78949</v>
      </c>
      <c r="T43" s="323">
        <f>T39*'Utility Sector'!$E$17</f>
        <v>15144949799.895807</v>
      </c>
      <c r="U43" s="323">
        <f>U39*'Utility Sector'!$E$17</f>
        <v>15648556781.04903</v>
      </c>
      <c r="V43" s="323">
        <f>V39*'Utility Sector'!$E$17</f>
        <v>16183737797.017216</v>
      </c>
      <c r="W43" s="323">
        <f>W39*'Utility Sector'!$E$17</f>
        <v>16752545160.063335</v>
      </c>
      <c r="X43" s="323">
        <f>X39*'Utility Sector'!$E$17</f>
        <v>17357164582.747452</v>
      </c>
      <c r="Y43" s="323">
        <f>Y39*'Utility Sector'!$E$17</f>
        <v>17999923848.94603</v>
      </c>
      <c r="Z43" s="323">
        <f>Z39*'Utility Sector'!$E$17</f>
        <v>18683302048.487518</v>
      </c>
      <c r="AA43" s="323">
        <f>AA39*'Utility Sector'!$E$17</f>
        <v>19409939412.039207</v>
      </c>
      <c r="AB43" s="323">
        <f>AB39*'Utility Sector'!$E$17</f>
        <v>20182647785.261749</v>
      </c>
      <c r="AC43" s="323">
        <f>AC39*'Utility Sector'!$E$17</f>
        <v>21004421783.783779</v>
      </c>
      <c r="AD43" s="323">
        <f>AD39*'Utility Sector'!$E$17</f>
        <v>21878450673.249714</v>
      </c>
      <c r="AE43" s="323">
        <f>AE39*'Utility Sector'!$E$17</f>
        <v>22808131021.570942</v>
      </c>
      <c r="AF43" s="323">
        <f>AF39*'Utility Sector'!$E$17</f>
        <v>23797080173.573048</v>
      </c>
    </row>
    <row r="44" spans="3:32" x14ac:dyDescent="0.25">
      <c r="C44" s="4"/>
      <c r="D44" s="321"/>
      <c r="E44" s="321" t="s">
        <v>428</v>
      </c>
      <c r="F44" s="322" t="s">
        <v>19</v>
      </c>
      <c r="G44" s="323">
        <f>G43*'Utility Sector'!$E$18</f>
        <v>1172589750</v>
      </c>
      <c r="H44" s="323">
        <f>H43*'Utility Sector'!$E$18</f>
        <v>1222885396.887336</v>
      </c>
      <c r="I44" s="323">
        <f>I43*'Utility Sector'!$E$18</f>
        <v>1250314742.9773328</v>
      </c>
      <c r="J44" s="323">
        <f>J43*'Utility Sector'!$E$18</f>
        <v>1279397609.8491395</v>
      </c>
      <c r="K44" s="323">
        <f>K43*'Utility Sector'!$E$18</f>
        <v>1310241476.3535738</v>
      </c>
      <c r="L44" s="323">
        <f>L43*'Utility Sector'!$E$18</f>
        <v>1342960807.4667556</v>
      </c>
      <c r="M44" s="323">
        <f>M43*'Utility Sector'!$E$18</f>
        <v>1377677508.3882546</v>
      </c>
      <c r="N44" s="323">
        <f>N43*'Utility Sector'!$E$18</f>
        <v>1414521408.1556113</v>
      </c>
      <c r="O44" s="323">
        <f>O43*'Utility Sector'!$E$18</f>
        <v>1453630774.6938059</v>
      </c>
      <c r="P44" s="323">
        <f>P43*'Utility Sector'!$E$18</f>
        <v>1495152863.3429437</v>
      </c>
      <c r="Q44" s="323">
        <f>Q43*'Utility Sector'!$E$18</f>
        <v>1539244501.040235</v>
      </c>
      <c r="R44" s="323">
        <f>R43*'Utility Sector'!$E$18</f>
        <v>1586072708.47381</v>
      </c>
      <c r="S44" s="323">
        <f>S43*'Utility Sector'!$E$18</f>
        <v>1635815362.6765282</v>
      </c>
      <c r="T44" s="323">
        <f>T43*'Utility Sector'!$E$18</f>
        <v>1688661902.6883826</v>
      </c>
      <c r="U44" s="323">
        <f>U43*'Utility Sector'!$E$18</f>
        <v>1744814081.086967</v>
      </c>
      <c r="V44" s="323">
        <f>V43*'Utility Sector'!$E$18</f>
        <v>1804486764.3674195</v>
      </c>
      <c r="W44" s="323">
        <f>W43*'Utility Sector'!$E$18</f>
        <v>1867908785.3470619</v>
      </c>
      <c r="X44" s="323">
        <f>X43*'Utility Sector'!$E$18</f>
        <v>1935323850.976341</v>
      </c>
      <c r="Y44" s="323">
        <f>Y43*'Utility Sector'!$E$18</f>
        <v>2006991509.1574824</v>
      </c>
      <c r="Z44" s="323">
        <f>Z43*'Utility Sector'!$E$18</f>
        <v>2083188178.4063582</v>
      </c>
      <c r="AA44" s="323">
        <f>AA43*'Utility Sector'!$E$18</f>
        <v>2164208244.4423718</v>
      </c>
      <c r="AB44" s="323">
        <f>AB43*'Utility Sector'!$E$18</f>
        <v>2250365228.056685</v>
      </c>
      <c r="AC44" s="323">
        <f>AC43*'Utility Sector'!$E$18</f>
        <v>2341993028.8918915</v>
      </c>
      <c r="AD44" s="323">
        <f>AD43*'Utility Sector'!$E$18</f>
        <v>2439447250.0673432</v>
      </c>
      <c r="AE44" s="323">
        <f>AE43*'Utility Sector'!$E$18</f>
        <v>2543106608.90516</v>
      </c>
      <c r="AF44" s="323">
        <f>AF43*'Utility Sector'!$E$18</f>
        <v>2653374439.353395</v>
      </c>
    </row>
    <row r="45" spans="3:32" x14ac:dyDescent="0.25">
      <c r="C45" s="4"/>
      <c r="D45" s="321"/>
      <c r="E45" s="321" t="s">
        <v>115</v>
      </c>
      <c r="F45" s="322" t="s">
        <v>19</v>
      </c>
      <c r="G45" s="323">
        <f>(G44/(1-'Utility Sector'!$E$27))-G44</f>
        <v>679842714.45497632</v>
      </c>
      <c r="H45" s="323">
        <f>(H44/(1-'Utility Sector'!$E$27))-H44</f>
        <v>709003065.80987716</v>
      </c>
      <c r="I45" s="323">
        <f>(I44/(1-'Utility Sector'!$E$27))-I44</f>
        <v>724906020.02003336</v>
      </c>
      <c r="J45" s="323">
        <f>(J44/(1-'Utility Sector'!$E$27))-J44</f>
        <v>741767650.57604122</v>
      </c>
      <c r="K45" s="323">
        <f>(K44/(1-'Utility Sector'!$E$27))-K44</f>
        <v>759650271.44038153</v>
      </c>
      <c r="L45" s="323">
        <f>(L44/(1-'Utility Sector'!$E$27))-L44</f>
        <v>778620246.98309517</v>
      </c>
      <c r="M45" s="323">
        <f>(M44/(1-'Utility Sector'!$E$27))-M44</f>
        <v>798748255.25827694</v>
      </c>
      <c r="N45" s="323">
        <f>(N44/(1-'Utility Sector'!$E$27))-N44</f>
        <v>820109568.39353776</v>
      </c>
      <c r="O45" s="323">
        <f>(O44/(1-'Utility Sector'!$E$27))-O44</f>
        <v>842784351.20478177</v>
      </c>
      <c r="P45" s="323">
        <f>(P44/(1-'Utility Sector'!$E$27))-P44</f>
        <v>866857979.22094822</v>
      </c>
      <c r="Q45" s="323">
        <f>(Q44/(1-'Utility Sector'!$E$27))-Q44</f>
        <v>892421377.38035727</v>
      </c>
      <c r="R45" s="323">
        <f>(R44/(1-'Utility Sector'!$E$27))-R44</f>
        <v>919571380.74231935</v>
      </c>
      <c r="S45" s="323">
        <f>(S44/(1-'Utility Sector'!$E$27))-S44</f>
        <v>948411118.64500117</v>
      </c>
      <c r="T45" s="323">
        <f>(T44/(1-'Utility Sector'!$E$27))-T44</f>
        <v>979050423.83354902</v>
      </c>
      <c r="U45" s="323">
        <f>(U44/(1-'Utility Sector'!$E$27))-U44</f>
        <v>1011606268.1815434</v>
      </c>
      <c r="V45" s="323">
        <f>(V44/(1-'Utility Sector'!$E$27))-V44</f>
        <v>1046203226.734349</v>
      </c>
      <c r="W45" s="323">
        <f>(W44/(1-'Utility Sector'!$E$27))-W44</f>
        <v>1082973971.9152792</v>
      </c>
      <c r="X45" s="323">
        <f>(X44/(1-'Utility Sector'!$E$27))-X44</f>
        <v>1122059799.8551614</v>
      </c>
      <c r="Y45" s="323">
        <f>(Y44/(1-'Utility Sector'!$E$27))-Y44</f>
        <v>1163611190.933327</v>
      </c>
      <c r="Z45" s="323">
        <f>(Z44/(1-'Utility Sector'!$E$27))-Z44</f>
        <v>1207788406.7537651</v>
      </c>
      <c r="AA45" s="323">
        <f>(AA44/(1-'Utility Sector'!$E$27))-AA44</f>
        <v>1254762125.9247241</v>
      </c>
      <c r="AB45" s="323">
        <f>(AB44/(1-'Utility Sector'!$E$27))-AB44</f>
        <v>1304714121.1639862</v>
      </c>
      <c r="AC45" s="323">
        <f>(AC44/(1-'Utility Sector'!$E$27))-AC44</f>
        <v>1357837980.4159937</v>
      </c>
      <c r="AD45" s="323">
        <f>(AD44/(1-'Utility Sector'!$E$27))-AD44</f>
        <v>1414339874.8415718</v>
      </c>
      <c r="AE45" s="323">
        <f>(AE44/(1-'Utility Sector'!$E$27))-AE44</f>
        <v>1474439376.7270041</v>
      </c>
      <c r="AF45" s="323">
        <f>(AF44/(1-'Utility Sector'!$E$27))-AF44</f>
        <v>1538370330.5571814</v>
      </c>
    </row>
    <row r="46" spans="3:32" x14ac:dyDescent="0.25">
      <c r="C46" s="10" t="s">
        <v>320</v>
      </c>
      <c r="D46" s="11"/>
      <c r="E46" s="11"/>
      <c r="F46" s="17" t="s">
        <v>18</v>
      </c>
      <c r="G46" s="201">
        <f>'Utility Sector'!E23*1000000</f>
        <v>500000000</v>
      </c>
      <c r="H46" s="201">
        <f>G46*(1+'Utility Sector'!$E$24)</f>
        <v>505000000</v>
      </c>
      <c r="I46" s="201">
        <f>H46*(1+'Utility Sector'!$E$24)</f>
        <v>510050000</v>
      </c>
      <c r="J46" s="201">
        <f>I46*(1+'Utility Sector'!$E$24)</f>
        <v>515150500</v>
      </c>
      <c r="K46" s="201">
        <f>J46*(1+'Utility Sector'!$E$24)</f>
        <v>520302005</v>
      </c>
      <c r="L46" s="201">
        <f>K46*(1+'Utility Sector'!$E$24)</f>
        <v>525505025.05000001</v>
      </c>
      <c r="M46" s="201">
        <f>L46*(1+'Utility Sector'!$E$24)</f>
        <v>530760075.30050004</v>
      </c>
      <c r="N46" s="201">
        <f>M46*(1+'Utility Sector'!$E$24)</f>
        <v>536067676.05350506</v>
      </c>
      <c r="O46" s="201">
        <f>N46*(1+'Utility Sector'!$E$24)</f>
        <v>541428352.81404006</v>
      </c>
      <c r="P46" s="201">
        <f>O46*(1+'Utility Sector'!$E$24)</f>
        <v>546842636.34218049</v>
      </c>
      <c r="Q46" s="201">
        <f>P46*(1+'Utility Sector'!$E$24)</f>
        <v>552311062.70560229</v>
      </c>
      <c r="R46" s="201">
        <f>Q46*(1+'Utility Sector'!$E$24)</f>
        <v>557834173.33265829</v>
      </c>
      <c r="S46" s="201">
        <f>R46*(1+'Utility Sector'!$E$24)</f>
        <v>563412515.06598485</v>
      </c>
      <c r="T46" s="201">
        <f>S46*(1+'Utility Sector'!$E$24)</f>
        <v>569046640.21664464</v>
      </c>
      <c r="U46" s="201">
        <f>T46*(1+'Utility Sector'!$E$24)</f>
        <v>574737106.61881113</v>
      </c>
      <c r="V46" s="201">
        <f>U46*(1+'Utility Sector'!$E$24)</f>
        <v>580484477.68499923</v>
      </c>
      <c r="W46" s="201">
        <f>V46*(1+'Utility Sector'!$E$24)</f>
        <v>586289322.46184921</v>
      </c>
      <c r="X46" s="201">
        <f>W46*(1+'Utility Sector'!$E$24)</f>
        <v>592152215.68646777</v>
      </c>
      <c r="Y46" s="201">
        <f>X46*(1+'Utility Sector'!$E$24)</f>
        <v>598073737.84333241</v>
      </c>
      <c r="Z46" s="201">
        <f>Y46*(1+'Utility Sector'!$E$24)</f>
        <v>604054475.22176576</v>
      </c>
      <c r="AA46" s="201">
        <f>Z46*(1+'Utility Sector'!$E$24)</f>
        <v>610095019.97398341</v>
      </c>
      <c r="AB46" s="201">
        <f>AA46*(1+'Utility Sector'!$E$24)</f>
        <v>616195970.17372322</v>
      </c>
      <c r="AC46" s="201">
        <f>AB46*(1+'Utility Sector'!$E$24)</f>
        <v>622357929.87546051</v>
      </c>
      <c r="AD46" s="201">
        <f>AC46*(1+'Utility Sector'!$E$24)</f>
        <v>628581509.17421508</v>
      </c>
      <c r="AE46" s="201">
        <f>AD46*(1+'Utility Sector'!$E$24)</f>
        <v>634867324.26595724</v>
      </c>
      <c r="AF46" s="201">
        <f>AE46*(1+'Utility Sector'!$E$24)</f>
        <v>641215997.50861681</v>
      </c>
    </row>
    <row r="47" spans="3:32" x14ac:dyDescent="0.25">
      <c r="C47" s="4" t="s">
        <v>328</v>
      </c>
      <c r="D47" s="5"/>
      <c r="E47" s="5"/>
      <c r="F47" s="12" t="s">
        <v>18</v>
      </c>
      <c r="G47" s="199">
        <f>'Utility Sector'!E6*1000000+SUM($G$40:G40)</f>
        <v>20790000000</v>
      </c>
      <c r="H47" s="199">
        <f>$G$39+SUM($G$40:H40)</f>
        <v>22190475000</v>
      </c>
      <c r="I47" s="199">
        <f>$G$39+SUM($G$40:I40)</f>
        <v>23681980875</v>
      </c>
      <c r="J47" s="199">
        <f>$G$39+SUM($G$40:J40)</f>
        <v>25270434631.875</v>
      </c>
      <c r="K47" s="199">
        <f>$G$39+SUM($G$40:K40)</f>
        <v>26962137882.946877</v>
      </c>
      <c r="L47" s="199">
        <f>$G$39+SUM($G$40:L40)</f>
        <v>28763801845.338421</v>
      </c>
      <c r="M47" s="199">
        <f>$G$39+SUM($G$40:M40)</f>
        <v>30682573965.285416</v>
      </c>
      <c r="N47" s="199">
        <f>$G$39+SUM($G$40:N40)</f>
        <v>32726066273.028969</v>
      </c>
      <c r="O47" s="199">
        <f>$G$39+SUM($G$40:O40)</f>
        <v>34902385580.775848</v>
      </c>
      <c r="P47" s="199">
        <f>$G$39+SUM($G$40:P40)</f>
        <v>37220165643.526283</v>
      </c>
      <c r="Q47" s="199">
        <f>$G$39+SUM($G$40:Q40)</f>
        <v>39688601410.355492</v>
      </c>
      <c r="R47" s="199">
        <f>$G$39+SUM($G$40:R40)</f>
        <v>42317485502.028595</v>
      </c>
      <c r="S47" s="199">
        <f>$G$39+SUM($G$40:S40)</f>
        <v>45117247059.660461</v>
      </c>
      <c r="T47" s="199">
        <f>$G$39+SUM($G$40:T40)</f>
        <v>48098993118.538391</v>
      </c>
      <c r="U47" s="199">
        <f>$G$39+SUM($G$40:U40)</f>
        <v>51274552671.243378</v>
      </c>
      <c r="V47" s="199">
        <f>$G$39+SUM($G$40:V40)</f>
        <v>54656523594.874199</v>
      </c>
      <c r="W47" s="199">
        <f>$G$39+SUM($G$40:W40)</f>
        <v>58258322628.541016</v>
      </c>
      <c r="X47" s="199">
        <f>$G$39+SUM($G$40:X40)</f>
        <v>62094238599.396179</v>
      </c>
      <c r="Y47" s="199">
        <f>$G$39+SUM($G$40:Y40)</f>
        <v>66179489108.356926</v>
      </c>
      <c r="Z47" s="199">
        <f>$G$39+SUM($G$40:Z40)</f>
        <v>70530280900.400116</v>
      </c>
      <c r="AA47" s="199">
        <f>$G$39+SUM($G$40:AA40)</f>
        <v>75163874158.926132</v>
      </c>
      <c r="AB47" s="199">
        <f>$G$39+SUM($G$40:AB40)</f>
        <v>80098650979.256317</v>
      </c>
      <c r="AC47" s="199">
        <f>$G$39+SUM($G$40:AC40)</f>
        <v>85354188292.90799</v>
      </c>
      <c r="AD47" s="199">
        <f>$G$39+SUM($G$40:AD40)</f>
        <v>90951335531.946991</v>
      </c>
      <c r="AE47" s="199">
        <f>$G$39+SUM($G$40:AE40)</f>
        <v>96912297341.523544</v>
      </c>
      <c r="AF47" s="199">
        <f>$G$39+SUM($G$40:AF40)</f>
        <v>103260721668.72256</v>
      </c>
    </row>
    <row r="48" spans="3:32" x14ac:dyDescent="0.25">
      <c r="C48" s="4"/>
      <c r="D48" s="5" t="s">
        <v>114</v>
      </c>
      <c r="E48" s="5"/>
      <c r="F48" s="12" t="s">
        <v>19</v>
      </c>
      <c r="G48" s="199">
        <f>G39*'Utility Sector'!$E$30</f>
        <v>623200000</v>
      </c>
      <c r="H48" s="68">
        <f>H39*'Utility Sector'!$E$30</f>
        <v>649930787.25119996</v>
      </c>
      <c r="I48" s="199">
        <f>I39*'Utility Sector'!$E$30</f>
        <v>664508748.96652794</v>
      </c>
      <c r="J48" s="199">
        <f>J39*'Utility Sector'!$E$30</f>
        <v>679965512.62535226</v>
      </c>
      <c r="K48" s="199">
        <f>K39*'Utility Sector'!$E$30</f>
        <v>696358200.35400021</v>
      </c>
      <c r="L48" s="199">
        <f>L39*'Utility Sector'!$E$30</f>
        <v>713747647.21701014</v>
      </c>
      <c r="M48" s="199">
        <f>M39*'Utility Sector'!$E$30</f>
        <v>732198642.55811572</v>
      </c>
      <c r="N48" s="199">
        <f>N39*'Utility Sector'!$E$30</f>
        <v>751780187.02839327</v>
      </c>
      <c r="O48" s="199">
        <f>O39*'Utility Sector'!$E$30</f>
        <v>772565766.32123876</v>
      </c>
      <c r="P48" s="199">
        <f>P39*'Utility Sector'!$E$30</f>
        <v>794633642.7001195</v>
      </c>
      <c r="Q48" s="199">
        <f>Q39*'Utility Sector'!$E$30</f>
        <v>818067165.47562718</v>
      </c>
      <c r="R48" s="199">
        <f>R39*'Utility Sector'!$E$30</f>
        <v>842955101.66354287</v>
      </c>
      <c r="S48" s="199">
        <f>S39*'Utility Sector'!$E$30</f>
        <v>869391988.13567352</v>
      </c>
      <c r="T48" s="199">
        <f>T39*'Utility Sector'!$E$30</f>
        <v>897478506.66049218</v>
      </c>
      <c r="U48" s="199">
        <f>U39*'Utility Sector'!$E$30</f>
        <v>927321883.32142401</v>
      </c>
      <c r="V48" s="199">
        <f>V39*'Utility Sector'!$E$30</f>
        <v>959036313.89731646</v>
      </c>
      <c r="W48" s="199">
        <f>W39*'Utility Sector'!$E$30</f>
        <v>992743416.89264214</v>
      </c>
      <c r="X48" s="199">
        <f>X39*'Utility Sector'!$E$30</f>
        <v>1028572716.0146637</v>
      </c>
      <c r="Y48" s="199">
        <f>Y39*'Utility Sector'!$E$30</f>
        <v>1066662154.0116165</v>
      </c>
      <c r="Z48" s="199">
        <f>Z39*'Utility Sector'!$E$30</f>
        <v>1107158639.9103713</v>
      </c>
      <c r="AA48" s="199">
        <f>AA39*'Utility Sector'!$E$30</f>
        <v>1150218631.8245456</v>
      </c>
      <c r="AB48" s="199">
        <f>AB39*'Utility Sector'!$E$30</f>
        <v>1196008757.6451406</v>
      </c>
      <c r="AC48" s="199">
        <f>AC39*'Utility Sector'!$E$30</f>
        <v>1244706476.0760758</v>
      </c>
      <c r="AD48" s="199">
        <f>AD39*'Utility Sector'!$E$30</f>
        <v>1296500780.6370201</v>
      </c>
      <c r="AE48" s="199">
        <f>AE39*'Utility Sector'!$E$30</f>
        <v>1351592949.4264262</v>
      </c>
      <c r="AF48" s="200">
        <f>AF39*'Utility Sector'!$E$30</f>
        <v>1410197343.6191435</v>
      </c>
    </row>
    <row r="49" spans="3:32" x14ac:dyDescent="0.25">
      <c r="C49" s="4"/>
      <c r="E49" s="11" t="s">
        <v>432</v>
      </c>
      <c r="F49" s="17" t="s">
        <v>19</v>
      </c>
      <c r="G49" s="201">
        <f>G47*'Utility Sector'!$E$30</f>
        <v>665280000</v>
      </c>
      <c r="H49" s="201">
        <f>H47*'Utility Sector'!$E$30</f>
        <v>710095200</v>
      </c>
      <c r="I49" s="201">
        <f>I47*'Utility Sector'!$E$30</f>
        <v>757823388</v>
      </c>
      <c r="J49" s="201">
        <f>J47*'Utility Sector'!$E$30</f>
        <v>808653908.22000003</v>
      </c>
      <c r="K49" s="201">
        <f>K47*'Utility Sector'!$E$30</f>
        <v>862788412.25430012</v>
      </c>
      <c r="L49" s="201">
        <f>L47*'Utility Sector'!$E$30</f>
        <v>920441659.05082953</v>
      </c>
      <c r="M49" s="201">
        <f>M47*'Utility Sector'!$E$30</f>
        <v>981842366.88913333</v>
      </c>
      <c r="N49" s="201">
        <f>N47*'Utility Sector'!$E$30</f>
        <v>1047234120.736927</v>
      </c>
      <c r="O49" s="201">
        <f>O47*'Utility Sector'!$E$30</f>
        <v>1116876338.5848272</v>
      </c>
      <c r="P49" s="201">
        <f>P47*'Utility Sector'!$E$30</f>
        <v>1191045300.5928411</v>
      </c>
      <c r="Q49" s="201">
        <f>Q47*'Utility Sector'!$E$30</f>
        <v>1270035245.1313758</v>
      </c>
      <c r="R49" s="201">
        <f>R47*'Utility Sector'!$E$30</f>
        <v>1354159536.0649152</v>
      </c>
      <c r="S49" s="201">
        <f>S47*'Utility Sector'!$E$30</f>
        <v>1443751905.9091349</v>
      </c>
      <c r="T49" s="201">
        <f>T47*'Utility Sector'!$E$30</f>
        <v>1539167779.7932286</v>
      </c>
      <c r="U49" s="201">
        <f>U47*'Utility Sector'!$E$30</f>
        <v>1640785685.4797881</v>
      </c>
      <c r="V49" s="201">
        <f>V47*'Utility Sector'!$E$30</f>
        <v>1749008755.0359745</v>
      </c>
      <c r="W49" s="201">
        <f>W47*'Utility Sector'!$E$30</f>
        <v>1864266324.1133125</v>
      </c>
      <c r="X49" s="201">
        <f>X47*'Utility Sector'!$E$30</f>
        <v>1987015635.1806779</v>
      </c>
      <c r="Y49" s="201">
        <f>Y47*'Utility Sector'!$E$30</f>
        <v>2117743651.4674218</v>
      </c>
      <c r="Z49" s="201">
        <f>Z47*'Utility Sector'!$E$30</f>
        <v>2256968988.8128037</v>
      </c>
      <c r="AA49" s="201">
        <f>AA47*'Utility Sector'!$E$30</f>
        <v>2405243973.0856361</v>
      </c>
      <c r="AB49" s="201">
        <f>AB47*'Utility Sector'!$E$30</f>
        <v>2563156831.3362021</v>
      </c>
      <c r="AC49" s="201">
        <f>AC47*'Utility Sector'!$E$30</f>
        <v>2731334025.3730559</v>
      </c>
      <c r="AD49" s="201">
        <f>AD47*'Utility Sector'!$E$30</f>
        <v>2910442737.0223036</v>
      </c>
      <c r="AE49" s="201">
        <f>AE47*'Utility Sector'!$E$30</f>
        <v>3101193514.9287534</v>
      </c>
      <c r="AF49" s="201">
        <f>AF47*'Utility Sector'!$E$30</f>
        <v>3304343093.3991222</v>
      </c>
    </row>
    <row r="50" spans="3:32" x14ac:dyDescent="0.25">
      <c r="C50" s="4"/>
      <c r="D50" s="11"/>
      <c r="E50" s="11" t="s">
        <v>430</v>
      </c>
      <c r="F50" s="17" t="s">
        <v>19</v>
      </c>
      <c r="G50" s="201">
        <f>SUM($G$49:G49)</f>
        <v>665280000</v>
      </c>
      <c r="H50" s="201">
        <f>SUM($G$49:H49)</f>
        <v>1375375200</v>
      </c>
      <c r="I50" s="201">
        <f>SUM($G$49:I49)</f>
        <v>2133198588</v>
      </c>
      <c r="J50" s="201">
        <f>SUM($G$49:J49)</f>
        <v>2941852496.2200003</v>
      </c>
      <c r="K50" s="201">
        <f>SUM($G$49:K49)</f>
        <v>3804640908.4743004</v>
      </c>
      <c r="L50" s="201">
        <f>SUM($G$49:L49)</f>
        <v>4725082567.5251303</v>
      </c>
      <c r="M50" s="201">
        <f>SUM($G$49:M49)</f>
        <v>5706924934.4142637</v>
      </c>
      <c r="N50" s="201">
        <f>SUM($G$49:N49)</f>
        <v>6754159055.1511908</v>
      </c>
      <c r="O50" s="201">
        <f>SUM($G$49:O49)</f>
        <v>7871035393.7360182</v>
      </c>
      <c r="P50" s="201">
        <f>SUM($G$49:P49)</f>
        <v>9062080694.3288593</v>
      </c>
      <c r="Q50" s="201">
        <f>SUM($G$49:Q49)</f>
        <v>10332115939.460236</v>
      </c>
      <c r="R50" s="201">
        <f>SUM($G$49:R49)</f>
        <v>11686275475.52515</v>
      </c>
      <c r="S50" s="201">
        <f>SUM($G$49:S49)</f>
        <v>13130027381.434284</v>
      </c>
      <c r="T50" s="201">
        <f>SUM($G$49:T49)</f>
        <v>14669195161.227512</v>
      </c>
      <c r="U50" s="201">
        <f>SUM($G$49:U49)</f>
        <v>16309980846.7073</v>
      </c>
      <c r="V50" s="201">
        <f>SUM($G$49:V49)</f>
        <v>18058989601.743275</v>
      </c>
      <c r="W50" s="201">
        <f>SUM($G$49:W49)</f>
        <v>19923255925.856586</v>
      </c>
      <c r="X50" s="201">
        <f>SUM($G$49:X49)</f>
        <v>21910271561.037266</v>
      </c>
      <c r="Y50" s="201">
        <f>SUM($G$49:Y49)</f>
        <v>24028015212.504688</v>
      </c>
      <c r="Z50" s="201">
        <f>SUM($G$49:Z49)</f>
        <v>26284984201.317493</v>
      </c>
      <c r="AA50" s="201">
        <f>SUM($G$49:AA49)</f>
        <v>28690228174.40313</v>
      </c>
      <c r="AB50" s="201">
        <f>SUM($G$49:AB49)</f>
        <v>31253385005.73933</v>
      </c>
      <c r="AC50" s="201">
        <f>SUM($G$49:AC49)</f>
        <v>33984719031.112385</v>
      </c>
      <c r="AD50" s="201">
        <f>SUM($G$49:AD49)</f>
        <v>36895161768.134689</v>
      </c>
      <c r="AE50" s="201">
        <f>SUM($G$49:AE49)</f>
        <v>39996355283.063446</v>
      </c>
      <c r="AF50" s="201">
        <f>SUM($G$49:AF49)</f>
        <v>43300698376.46257</v>
      </c>
    </row>
    <row r="51" spans="3:32" x14ac:dyDescent="0.25">
      <c r="C51" s="4"/>
      <c r="D51" s="11"/>
      <c r="E51" s="11" t="s">
        <v>431</v>
      </c>
      <c r="F51" s="17" t="s">
        <v>19</v>
      </c>
      <c r="G51" s="201">
        <f>G49*'Utility Sector'!$E$27</f>
        <v>244157760</v>
      </c>
      <c r="H51" s="201">
        <f>H49*'Utility Sector'!$E$27</f>
        <v>260604938.40000001</v>
      </c>
      <c r="I51" s="201">
        <f>I49*'Utility Sector'!$E$27</f>
        <v>278121183.39599997</v>
      </c>
      <c r="J51" s="201">
        <f>J49*'Utility Sector'!$E$27</f>
        <v>296775984.31673998</v>
      </c>
      <c r="K51" s="201">
        <f>K49*'Utility Sector'!$E$27</f>
        <v>316643347.29732811</v>
      </c>
      <c r="L51" s="201">
        <f>L49*'Utility Sector'!$E$27</f>
        <v>337802088.87165445</v>
      </c>
      <c r="M51" s="201">
        <f>M49*'Utility Sector'!$E$27</f>
        <v>360336148.64831191</v>
      </c>
      <c r="N51" s="201">
        <f>N49*'Utility Sector'!$E$27</f>
        <v>384334922.31045222</v>
      </c>
      <c r="O51" s="201">
        <f>O49*'Utility Sector'!$E$27</f>
        <v>409893616.26063156</v>
      </c>
      <c r="P51" s="201">
        <f>P49*'Utility Sector'!$E$27</f>
        <v>437113625.31757271</v>
      </c>
      <c r="Q51" s="201">
        <f>Q49*'Utility Sector'!$E$27</f>
        <v>466102934.96321493</v>
      </c>
      <c r="R51" s="201">
        <f>R49*'Utility Sector'!$E$27</f>
        <v>496976549.73582387</v>
      </c>
      <c r="S51" s="201">
        <f>S49*'Utility Sector'!$E$27</f>
        <v>529856949.46865249</v>
      </c>
      <c r="T51" s="201">
        <f>T49*'Utility Sector'!$E$27</f>
        <v>564874575.18411493</v>
      </c>
      <c r="U51" s="201">
        <f>U49*'Utility Sector'!$E$27</f>
        <v>602168346.57108223</v>
      </c>
      <c r="V51" s="201">
        <f>V49*'Utility Sector'!$E$27</f>
        <v>641886213.09820259</v>
      </c>
      <c r="W51" s="201">
        <f>W49*'Utility Sector'!$E$27</f>
        <v>684185740.94958568</v>
      </c>
      <c r="X51" s="201">
        <f>X49*'Utility Sector'!$E$27</f>
        <v>729234738.11130881</v>
      </c>
      <c r="Y51" s="201">
        <f>Y49*'Utility Sector'!$E$27</f>
        <v>777211920.08854377</v>
      </c>
      <c r="Z51" s="201">
        <f>Z49*'Utility Sector'!$E$27</f>
        <v>828307618.89429891</v>
      </c>
      <c r="AA51" s="201">
        <f>AA49*'Utility Sector'!$E$27</f>
        <v>882724538.12242842</v>
      </c>
      <c r="AB51" s="201">
        <f>AB49*'Utility Sector'!$E$27</f>
        <v>940678557.10038614</v>
      </c>
      <c r="AC51" s="201">
        <f>AC49*'Utility Sector'!$E$27</f>
        <v>1002399587.3119115</v>
      </c>
      <c r="AD51" s="201">
        <f>AD49*'Utility Sector'!$E$27</f>
        <v>1068132484.4871854</v>
      </c>
      <c r="AE51" s="201">
        <f>AE49*'Utility Sector'!$E$27</f>
        <v>1138138019.9788525</v>
      </c>
      <c r="AF51" s="201">
        <f>AF49*'Utility Sector'!$E$27</f>
        <v>1212693915.2774777</v>
      </c>
    </row>
    <row r="52" spans="3:32" x14ac:dyDescent="0.25">
      <c r="C52" s="4"/>
      <c r="D52" s="11"/>
      <c r="E52" s="11" t="s">
        <v>331</v>
      </c>
      <c r="F52" s="17" t="s">
        <v>19</v>
      </c>
      <c r="G52" s="201">
        <f>SUM($G$51:G51)</f>
        <v>244157760</v>
      </c>
      <c r="H52" s="201">
        <f>SUM($G$51:H51)</f>
        <v>504762698.39999998</v>
      </c>
      <c r="I52" s="201">
        <f>SUM($G$51:I51)</f>
        <v>782883881.796</v>
      </c>
      <c r="J52" s="201">
        <f>SUM($G$51:J51)</f>
        <v>1079659866.11274</v>
      </c>
      <c r="K52" s="201">
        <f>SUM($G$51:K51)</f>
        <v>1396303213.410068</v>
      </c>
      <c r="L52" s="201">
        <f>SUM($G$51:L51)</f>
        <v>1734105302.2817225</v>
      </c>
      <c r="M52" s="201">
        <f>SUM($G$51:M51)</f>
        <v>2094441450.9300344</v>
      </c>
      <c r="N52" s="201">
        <f>SUM($G$51:N51)</f>
        <v>2478776373.2404866</v>
      </c>
      <c r="O52" s="201">
        <f>SUM($G$51:O51)</f>
        <v>2888669989.5011182</v>
      </c>
      <c r="P52" s="201">
        <f>SUM($G$51:P51)</f>
        <v>3325783614.8186908</v>
      </c>
      <c r="Q52" s="201">
        <f>SUM($G$51:Q51)</f>
        <v>3791886549.7819057</v>
      </c>
      <c r="R52" s="201">
        <f>SUM($G$51:R51)</f>
        <v>4288863099.5177298</v>
      </c>
      <c r="S52" s="201">
        <f>SUM($G$51:S51)</f>
        <v>4818720048.9863825</v>
      </c>
      <c r="T52" s="201">
        <f>SUM($G$51:T51)</f>
        <v>5383594624.1704979</v>
      </c>
      <c r="U52" s="201">
        <f>SUM($G$51:U51)</f>
        <v>5985762970.74158</v>
      </c>
      <c r="V52" s="201">
        <f>SUM($G$51:V51)</f>
        <v>6627649183.8397827</v>
      </c>
      <c r="W52" s="201">
        <f>SUM($G$51:W51)</f>
        <v>7311834924.7893686</v>
      </c>
      <c r="X52" s="201">
        <f>SUM($G$51:X51)</f>
        <v>8041069662.9006777</v>
      </c>
      <c r="Y52" s="201">
        <f>SUM($G$51:Y51)</f>
        <v>8818281582.9892216</v>
      </c>
      <c r="Z52" s="201">
        <f>SUM($G$51:Z51)</f>
        <v>9646589201.8835201</v>
      </c>
      <c r="AA52" s="201">
        <f>SUM($G$51:AA51)</f>
        <v>10529313740.005949</v>
      </c>
      <c r="AB52" s="201">
        <f>SUM($G$51:AB51)</f>
        <v>11469992297.106335</v>
      </c>
      <c r="AC52" s="201">
        <f>SUM($G$51:AC51)</f>
        <v>12472391884.418245</v>
      </c>
      <c r="AD52" s="201">
        <f>SUM($G$51:AD51)</f>
        <v>13540524368.90543</v>
      </c>
      <c r="AE52" s="201">
        <f>SUM($G$51:AE51)</f>
        <v>14678662388.884283</v>
      </c>
      <c r="AF52" s="201">
        <f>SUM($G$51:AF51)</f>
        <v>15891356304.16176</v>
      </c>
    </row>
    <row r="53" spans="3:32" x14ac:dyDescent="0.25">
      <c r="C53" s="232" t="s">
        <v>352</v>
      </c>
      <c r="D53" s="51"/>
      <c r="E53" s="51"/>
      <c r="F53" s="52" t="s">
        <v>18</v>
      </c>
      <c r="G53" s="274">
        <f>G42+G44+G45+G46+G48</f>
        <v>3353681164.4549761</v>
      </c>
      <c r="H53" s="274">
        <f t="shared" ref="H53:AF53" si="11">H42+H44+H45+H46+H48</f>
        <v>3481083513.7646723</v>
      </c>
      <c r="I53" s="274">
        <f t="shared" si="11"/>
        <v>3552887131.8057141</v>
      </c>
      <c r="J53" s="274">
        <f t="shared" si="11"/>
        <v>3628765352.1468873</v>
      </c>
      <c r="K53" s="274">
        <f t="shared" si="11"/>
        <v>3708980246.4377007</v>
      </c>
      <c r="L53" s="274">
        <f t="shared" si="11"/>
        <v>3793810893.2098799</v>
      </c>
      <c r="M53" s="274">
        <f t="shared" si="11"/>
        <v>3883554483.0469646</v>
      </c>
      <c r="N53" s="274">
        <f t="shared" si="11"/>
        <v>3978527495.5871463</v>
      </c>
      <c r="O53" s="274">
        <f t="shared" si="11"/>
        <v>4079066953.0284882</v>
      </c>
      <c r="P53" s="274">
        <f t="shared" si="11"/>
        <v>4185531755.1091514</v>
      </c>
      <c r="Q53" s="274">
        <f t="shared" si="11"/>
        <v>4298304100.8584738</v>
      </c>
      <c r="R53" s="274">
        <f t="shared" si="11"/>
        <v>4417791002.7589769</v>
      </c>
      <c r="S53" s="274">
        <f t="shared" si="11"/>
        <v>4544425899.3259907</v>
      </c>
      <c r="T53" s="274">
        <f t="shared" si="11"/>
        <v>4678670372.5019894</v>
      </c>
      <c r="U53" s="274">
        <f t="shared" si="11"/>
        <v>4821015976.6786041</v>
      </c>
      <c r="V53" s="274">
        <f t="shared" si="11"/>
        <v>4971986186.6020432</v>
      </c>
      <c r="W53" s="274">
        <f t="shared" si="11"/>
        <v>5132138471.8893309</v>
      </c>
      <c r="X53" s="274">
        <f t="shared" si="11"/>
        <v>5302066506.3850288</v>
      </c>
      <c r="Y53" s="274">
        <f t="shared" si="11"/>
        <v>5482402521.1230555</v>
      </c>
      <c r="Z53" s="274">
        <f t="shared" si="11"/>
        <v>5673819810.22789</v>
      </c>
      <c r="AA53" s="274">
        <f t="shared" si="11"/>
        <v>5877035399.6961899</v>
      </c>
      <c r="AB53" s="274">
        <f t="shared" si="11"/>
        <v>6092812889.646018</v>
      </c>
      <c r="AC53" s="274">
        <f t="shared" si="11"/>
        <v>6321965481.3090706</v>
      </c>
      <c r="AD53" s="274">
        <f t="shared" si="11"/>
        <v>6565359200.7740822</v>
      </c>
      <c r="AE53" s="274">
        <f t="shared" si="11"/>
        <v>6823916332.2703524</v>
      </c>
      <c r="AF53" s="274">
        <f t="shared" si="11"/>
        <v>7098619074.6112995</v>
      </c>
    </row>
    <row r="54" spans="3:32" x14ac:dyDescent="0.25">
      <c r="C54" s="232"/>
      <c r="D54" s="11" t="s">
        <v>353</v>
      </c>
      <c r="E54" s="11"/>
      <c r="F54" s="339" t="s">
        <v>19</v>
      </c>
      <c r="G54" s="201">
        <f>G53*'Customer Sector'!$F$45</f>
        <v>2085989684.2909951</v>
      </c>
      <c r="H54" s="201">
        <f>H53*'Customer Sector'!$F$45</f>
        <v>2165233945.561626</v>
      </c>
      <c r="I54" s="201">
        <f>I53*'Customer Sector'!$F$45</f>
        <v>2209895795.9831543</v>
      </c>
      <c r="J54" s="201">
        <f>J53*'Customer Sector'!$F$45</f>
        <v>2257092049.0353637</v>
      </c>
      <c r="K54" s="201">
        <f>K53*'Customer Sector'!$F$45</f>
        <v>2306985713.2842498</v>
      </c>
      <c r="L54" s="201">
        <f>L53*'Customer Sector'!$F$45</f>
        <v>2359750375.5765452</v>
      </c>
      <c r="M54" s="201">
        <f>M53*'Customer Sector'!$F$45</f>
        <v>2415570888.4552121</v>
      </c>
      <c r="N54" s="201">
        <f>N53*'Customer Sector'!$F$45</f>
        <v>2474644102.2552052</v>
      </c>
      <c r="O54" s="201">
        <f>O53*'Customer Sector'!$F$45</f>
        <v>2537179644.7837195</v>
      </c>
      <c r="P54" s="201">
        <f>P53*'Customer Sector'!$F$45</f>
        <v>2603400751.6778922</v>
      </c>
      <c r="Q54" s="201">
        <f>Q53*'Customer Sector'!$F$45</f>
        <v>2673545150.7339706</v>
      </c>
      <c r="R54" s="201">
        <f>R53*'Customer Sector'!$F$45</f>
        <v>2747866003.7160835</v>
      </c>
      <c r="S54" s="201">
        <f>S53*'Customer Sector'!$F$45</f>
        <v>2826632909.3807664</v>
      </c>
      <c r="T54" s="201">
        <f>T53*'Customer Sector'!$F$45</f>
        <v>2910132971.6962376</v>
      </c>
      <c r="U54" s="201">
        <f>U53*'Customer Sector'!$F$45</f>
        <v>2998671937.494092</v>
      </c>
      <c r="V54" s="201">
        <f>V53*'Customer Sector'!$F$45</f>
        <v>3092575408.0664706</v>
      </c>
      <c r="W54" s="201">
        <f>W53*'Customer Sector'!$F$45</f>
        <v>3192190129.5151639</v>
      </c>
      <c r="X54" s="201">
        <f>X53*'Customer Sector'!$F$45</f>
        <v>3297885366.971488</v>
      </c>
      <c r="Y54" s="201">
        <f>Y53*'Customer Sector'!$F$45</f>
        <v>3410054368.1385403</v>
      </c>
      <c r="Z54" s="201">
        <f>Z53*'Customer Sector'!$F$45</f>
        <v>3529115921.9617476</v>
      </c>
      <c r="AA54" s="201">
        <f>AA53*'Customer Sector'!$F$45</f>
        <v>3655516018.6110301</v>
      </c>
      <c r="AB54" s="201">
        <f>AB53*'Customer Sector'!$F$45</f>
        <v>3789729617.3598232</v>
      </c>
      <c r="AC54" s="201">
        <f>AC53*'Customer Sector'!$F$45</f>
        <v>3932262529.3742418</v>
      </c>
      <c r="AD54" s="201">
        <f>AD53*'Customer Sector'!$F$45</f>
        <v>4083653422.8814793</v>
      </c>
      <c r="AE54" s="201">
        <f>AE53*'Customer Sector'!$F$45</f>
        <v>4244475958.6721592</v>
      </c>
      <c r="AF54" s="201">
        <f>AF53*'Customer Sector'!$F$45</f>
        <v>4415341064.4082279</v>
      </c>
    </row>
    <row r="55" spans="3:32" x14ac:dyDescent="0.25">
      <c r="C55" s="232"/>
      <c r="D55" s="11"/>
      <c r="E55" s="11" t="s">
        <v>398</v>
      </c>
      <c r="F55" s="339" t="s">
        <v>19</v>
      </c>
      <c r="G55" s="377">
        <f>(G42+G44+G45+G46+G48)*'Customer Sector'!$F$45</f>
        <v>2085989684.2909951</v>
      </c>
      <c r="H55" s="377">
        <f>(H42+H44+H45+H46+H48)*'Customer Sector'!$F$45</f>
        <v>2165233945.561626</v>
      </c>
      <c r="I55" s="377">
        <f>(I42+I44+I45+I46+I48)*'Customer Sector'!$F$45</f>
        <v>2209895795.9831543</v>
      </c>
      <c r="J55" s="377">
        <f>(J42+J44+J45+J46+J48)*'Customer Sector'!$F$45</f>
        <v>2257092049.0353637</v>
      </c>
      <c r="K55" s="377">
        <f>(K42+K44+K45+K46+K48)*'Customer Sector'!$F$45</f>
        <v>2306985713.2842498</v>
      </c>
      <c r="L55" s="377">
        <f>(L42+L44+L45+L46+L48)*'Customer Sector'!$F$45</f>
        <v>2359750375.5765452</v>
      </c>
      <c r="M55" s="377">
        <f>(M42+M44+M45+M46+M48)*'Customer Sector'!$F$45</f>
        <v>2415570888.4552121</v>
      </c>
      <c r="N55" s="377">
        <f>(N42+N44+N45+N46+N48)*'Customer Sector'!$F$45</f>
        <v>2474644102.2552052</v>
      </c>
      <c r="O55" s="377">
        <f>(O42+O44+O45+O46+O48)*'Customer Sector'!$F$45</f>
        <v>2537179644.7837195</v>
      </c>
      <c r="P55" s="377">
        <f>(P42+P44+P45+P46+P48)*'Customer Sector'!$F$45</f>
        <v>2603400751.6778922</v>
      </c>
      <c r="Q55" s="377">
        <f>(Q42+Q44+Q45+Q46+Q48)*'Customer Sector'!$F$45</f>
        <v>2673545150.7339706</v>
      </c>
      <c r="R55" s="377">
        <f>(R42+R44+R45+R46+R48)*'Customer Sector'!$F$45</f>
        <v>2747866003.7160835</v>
      </c>
      <c r="S55" s="377">
        <f>(S42+S44+S45+S46+S48)*'Customer Sector'!$F$45</f>
        <v>2826632909.3807664</v>
      </c>
      <c r="T55" s="377">
        <f>(T42+T44+T45+T46+T48)*'Customer Sector'!$F$45</f>
        <v>2910132971.6962376</v>
      </c>
      <c r="U55" s="377">
        <f>(U42+U44+U45+U46+U48)*'Customer Sector'!$F$45</f>
        <v>2998671937.494092</v>
      </c>
      <c r="V55" s="377">
        <f>(V42+V44+V45+V46+V48)*'Customer Sector'!$F$45</f>
        <v>3092575408.0664706</v>
      </c>
      <c r="W55" s="377">
        <f>(W42+W44+W45+W46+W48)*'Customer Sector'!$F$45</f>
        <v>3192190129.5151639</v>
      </c>
      <c r="X55" s="377">
        <f>(X42+X44+X45+X46+X48)*'Customer Sector'!$F$45</f>
        <v>3297885366.971488</v>
      </c>
      <c r="Y55" s="377">
        <f>(Y42+Y44+Y45+Y46+Y48)*'Customer Sector'!$F$45</f>
        <v>3410054368.1385403</v>
      </c>
      <c r="Z55" s="377">
        <f>(Z42+Z44+Z45+Z46+Z48)*'Customer Sector'!$F$45</f>
        <v>3529115921.9617476</v>
      </c>
      <c r="AA55" s="377">
        <f>(AA42+AA44+AA45+AA46+AA48)*'Customer Sector'!$F$45</f>
        <v>3655516018.6110301</v>
      </c>
      <c r="AB55" s="377">
        <f>(AB42+AB44+AB45+AB46+AB48)*'Customer Sector'!$F$45</f>
        <v>3789729617.3598232</v>
      </c>
      <c r="AC55" s="377">
        <f>(AC42+AC44+AC45+AC46+AC48)*'Customer Sector'!$F$45</f>
        <v>3932262529.3742418</v>
      </c>
      <c r="AD55" s="377">
        <f>(AD42+AD44+AD45+AD46+AD48)*'Customer Sector'!$F$45</f>
        <v>4083653422.8814793</v>
      </c>
      <c r="AE55" s="377">
        <f>(AE42+AE44+AE45+AE46+AE48)*'Customer Sector'!$F$45</f>
        <v>4244475958.6721592</v>
      </c>
      <c r="AF55" s="377">
        <f>(AF42+AF44+AF45+AF46+AF48)*'Customer Sector'!$F$45</f>
        <v>4415341064.4082279</v>
      </c>
    </row>
    <row r="56" spans="3:32" x14ac:dyDescent="0.25">
      <c r="C56" s="232"/>
      <c r="D56" s="5" t="s">
        <v>354</v>
      </c>
      <c r="E56" s="5"/>
      <c r="F56" s="12" t="s">
        <v>19</v>
      </c>
      <c r="G56" s="199">
        <f>G53*(1-'Customer Sector'!$F$45)</f>
        <v>1267691480.163981</v>
      </c>
      <c r="H56" s="199">
        <f>H53*(1-'Customer Sector'!$F$45)</f>
        <v>1315849568.2030461</v>
      </c>
      <c r="I56" s="199">
        <f>I53*(1-'Customer Sector'!$F$45)</f>
        <v>1342991335.8225598</v>
      </c>
      <c r="J56" s="199">
        <f>J53*(1-'Customer Sector'!$F$45)</f>
        <v>1371673303.1115234</v>
      </c>
      <c r="K56" s="199">
        <f>K53*(1-'Customer Sector'!$F$45)</f>
        <v>1401994533.153451</v>
      </c>
      <c r="L56" s="199">
        <f>L53*(1-'Customer Sector'!$F$45)</f>
        <v>1434060517.6333346</v>
      </c>
      <c r="M56" s="199">
        <f>M53*(1-'Customer Sector'!$F$45)</f>
        <v>1467983594.5917525</v>
      </c>
      <c r="N56" s="199">
        <f>N53*(1-'Customer Sector'!$F$45)</f>
        <v>1503883393.3319414</v>
      </c>
      <c r="O56" s="199">
        <f>O53*(1-'Customer Sector'!$F$45)</f>
        <v>1541887308.2447686</v>
      </c>
      <c r="P56" s="199">
        <f>P53*(1-'Customer Sector'!$F$45)</f>
        <v>1582131003.4312592</v>
      </c>
      <c r="Q56" s="199">
        <f>Q53*(1-'Customer Sector'!$F$45)</f>
        <v>1624758950.1245031</v>
      </c>
      <c r="R56" s="199">
        <f>R53*(1-'Customer Sector'!$F$45)</f>
        <v>1669924999.0428934</v>
      </c>
      <c r="S56" s="199">
        <f>S53*(1-'Customer Sector'!$F$45)</f>
        <v>1717792989.9452245</v>
      </c>
      <c r="T56" s="199">
        <f>T53*(1-'Customer Sector'!$F$45)</f>
        <v>1768537400.805752</v>
      </c>
      <c r="U56" s="199">
        <f>U53*(1-'Customer Sector'!$F$45)</f>
        <v>1822344039.1845124</v>
      </c>
      <c r="V56" s="199">
        <f>V53*(1-'Customer Sector'!$F$45)</f>
        <v>1879410778.5355723</v>
      </c>
      <c r="W56" s="199">
        <f>W53*(1-'Customer Sector'!$F$45)</f>
        <v>1939948342.374167</v>
      </c>
      <c r="X56" s="199">
        <f>X53*(1-'Customer Sector'!$F$45)</f>
        <v>2004181139.4135408</v>
      </c>
      <c r="Y56" s="199">
        <f>Y53*(1-'Customer Sector'!$F$45)</f>
        <v>2072348152.984515</v>
      </c>
      <c r="Z56" s="199">
        <f>Z53*(1-'Customer Sector'!$F$45)</f>
        <v>2144703888.2661424</v>
      </c>
      <c r="AA56" s="199">
        <f>AA53*(1-'Customer Sector'!$F$45)</f>
        <v>2221519381.0851598</v>
      </c>
      <c r="AB56" s="199">
        <f>AB53*(1-'Customer Sector'!$F$45)</f>
        <v>2303083272.2861948</v>
      </c>
      <c r="AC56" s="199">
        <f>AC53*(1-'Customer Sector'!$F$45)</f>
        <v>2389702951.9348288</v>
      </c>
      <c r="AD56" s="199">
        <f>AD53*(1-'Customer Sector'!$F$45)</f>
        <v>2481705777.8926029</v>
      </c>
      <c r="AE56" s="199">
        <f>AE53*(1-'Customer Sector'!$F$45)</f>
        <v>2579440373.5981932</v>
      </c>
      <c r="AF56" s="199">
        <f>AF53*(1-'Customer Sector'!$F$45)</f>
        <v>2683278010.2030711</v>
      </c>
    </row>
    <row r="57" spans="3:32" x14ac:dyDescent="0.25">
      <c r="C57" s="232"/>
      <c r="D57" s="5"/>
      <c r="E57" s="5" t="s">
        <v>399</v>
      </c>
      <c r="F57" s="12" t="s">
        <v>19</v>
      </c>
      <c r="G57" s="199">
        <f>(G42+G44+G45+G46+G48)*(1-'Customer Sector'!$F$45)</f>
        <v>1267691480.163981</v>
      </c>
      <c r="H57" s="199">
        <f>(H42+H44+H45+H46+H48)*(1-'Customer Sector'!$F$45)</f>
        <v>1315849568.2030461</v>
      </c>
      <c r="I57" s="199">
        <f>(I42+I44+I45+I46+I48)*(1-'Customer Sector'!$F$45)</f>
        <v>1342991335.8225598</v>
      </c>
      <c r="J57" s="199">
        <f>(J42+J44+J45+J46+J48)*(1-'Customer Sector'!$F$45)</f>
        <v>1371673303.1115234</v>
      </c>
      <c r="K57" s="199">
        <f>(K42+K44+K45+K46+K48)*(1-'Customer Sector'!$F$45)</f>
        <v>1401994533.153451</v>
      </c>
      <c r="L57" s="199">
        <f>(L42+L44+L45+L46+L48)*(1-'Customer Sector'!$F$45)</f>
        <v>1434060517.6333346</v>
      </c>
      <c r="M57" s="199">
        <f>(M42+M44+M45+M46+M48)*(1-'Customer Sector'!$F$45)</f>
        <v>1467983594.5917525</v>
      </c>
      <c r="N57" s="199">
        <f>(N42+N44+N45+N46+N48)*(1-'Customer Sector'!$F$45)</f>
        <v>1503883393.3319414</v>
      </c>
      <c r="O57" s="199">
        <f>(O42+O44+O45+O46+O48)*(1-'Customer Sector'!$F$45)</f>
        <v>1541887308.2447686</v>
      </c>
      <c r="P57" s="199">
        <f>(P42+P44+P45+P46+P48)*(1-'Customer Sector'!$F$45)</f>
        <v>1582131003.4312592</v>
      </c>
      <c r="Q57" s="199">
        <f>(Q42+Q44+Q45+Q46+Q48)*(1-'Customer Sector'!$F$45)</f>
        <v>1624758950.1245031</v>
      </c>
      <c r="R57" s="199">
        <f>(R42+R44+R45+R46+R48)*(1-'Customer Sector'!$F$45)</f>
        <v>1669924999.0428934</v>
      </c>
      <c r="S57" s="199">
        <f>(S42+S44+S45+S46+S48)*(1-'Customer Sector'!$F$45)</f>
        <v>1717792989.9452245</v>
      </c>
      <c r="T57" s="199">
        <f>(T42+T44+T45+T46+T48)*(1-'Customer Sector'!$F$45)</f>
        <v>1768537400.805752</v>
      </c>
      <c r="U57" s="199">
        <f>(U42+U44+U45+U46+U48)*(1-'Customer Sector'!$F$45)</f>
        <v>1822344039.1845124</v>
      </c>
      <c r="V57" s="199">
        <f>(V42+V44+V45+V46+V48)*(1-'Customer Sector'!$F$45)</f>
        <v>1879410778.5355723</v>
      </c>
      <c r="W57" s="199">
        <f>(W42+W44+W45+W46+W48)*(1-'Customer Sector'!$F$45)</f>
        <v>1939948342.374167</v>
      </c>
      <c r="X57" s="199">
        <f>(X42+X44+X45+X46+X48)*(1-'Customer Sector'!$F$45)</f>
        <v>2004181139.4135408</v>
      </c>
      <c r="Y57" s="199">
        <f>(Y42+Y44+Y45+Y46+Y48)*(1-'Customer Sector'!$F$45)</f>
        <v>2072348152.984515</v>
      </c>
      <c r="Z57" s="199">
        <f>(Z42+Z44+Z45+Z46+Z48)*(1-'Customer Sector'!$F$45)</f>
        <v>2144703888.2661424</v>
      </c>
      <c r="AA57" s="199">
        <f>(AA42+AA44+AA45+AA46+AA48)*(1-'Customer Sector'!$F$45)</f>
        <v>2221519381.0851598</v>
      </c>
      <c r="AB57" s="199">
        <f>(AB42+AB44+AB45+AB46+AB48)*(1-'Customer Sector'!$F$45)</f>
        <v>2303083272.2861948</v>
      </c>
      <c r="AC57" s="199">
        <f>(AC42+AC44+AC45+AC46+AC48)*(1-'Customer Sector'!$F$45)</f>
        <v>2389702951.9348288</v>
      </c>
      <c r="AD57" s="199">
        <f>(AD42+AD44+AD45+AD46+AD48)*(1-'Customer Sector'!$F$45)</f>
        <v>2481705777.8926029</v>
      </c>
      <c r="AE57" s="199">
        <f>(AE42+AE44+AE45+AE46+AE48)*(1-'Customer Sector'!$F$45)</f>
        <v>2579440373.5981932</v>
      </c>
      <c r="AF57" s="199">
        <f>(AF42+AF44+AF45+AF46+AF48)*(1-'Customer Sector'!$F$45)</f>
        <v>2683278010.2030711</v>
      </c>
    </row>
    <row r="58" spans="3:32" x14ac:dyDescent="0.25">
      <c r="C58" s="779" t="s">
        <v>348</v>
      </c>
      <c r="D58" s="780"/>
      <c r="E58" s="780"/>
      <c r="F58" s="780"/>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row>
    <row r="59" spans="3:32" x14ac:dyDescent="0.25">
      <c r="C59" s="4" t="s">
        <v>338</v>
      </c>
      <c r="D59" s="5"/>
      <c r="E59" s="5"/>
      <c r="F59" s="12" t="s">
        <v>18</v>
      </c>
      <c r="G59" s="199">
        <f>G60+G61</f>
        <v>4635682900.547945</v>
      </c>
      <c r="H59" s="199">
        <f t="shared" ref="H59:AF59" si="12">H60+H61</f>
        <v>4928629441.298727</v>
      </c>
      <c r="I59" s="199">
        <f t="shared" si="12"/>
        <v>5221255598.1934452</v>
      </c>
      <c r="J59" s="199">
        <f t="shared" si="12"/>
        <v>5535996712.6086693</v>
      </c>
      <c r="K59" s="199">
        <f t="shared" si="12"/>
        <v>5874560130.7078466</v>
      </c>
      <c r="L59" s="199">
        <f t="shared" si="12"/>
        <v>6238785500.1293621</v>
      </c>
      <c r="M59" s="199">
        <f t="shared" si="12"/>
        <v>6630655041.8100567</v>
      </c>
      <c r="N59" s="199">
        <f t="shared" si="12"/>
        <v>7052304620.5165854</v>
      </c>
      <c r="O59" s="199">
        <f t="shared" si="12"/>
        <v>7506035676.2704239</v>
      </c>
      <c r="P59" s="199">
        <f t="shared" si="12"/>
        <v>7994328083.6995049</v>
      </c>
      <c r="Q59" s="199">
        <f t="shared" si="12"/>
        <v>8519854011.5747881</v>
      </c>
      <c r="R59" s="199">
        <f t="shared" si="12"/>
        <v>9085492860.4230537</v>
      </c>
      <c r="S59" s="199">
        <f t="shared" si="12"/>
        <v>9694347362.1799526</v>
      </c>
      <c r="T59" s="199">
        <f t="shared" si="12"/>
        <v>10349760932.393696</v>
      </c>
      <c r="U59" s="199">
        <f t="shared" si="12"/>
        <v>11055336372.547327</v>
      </c>
      <c r="V59" s="199">
        <f t="shared" si="12"/>
        <v>11814956027.675623</v>
      </c>
      <c r="W59" s="199">
        <f t="shared" si="12"/>
        <v>12632803512.654831</v>
      </c>
      <c r="X59" s="199">
        <f t="shared" si="12"/>
        <v>13513387129.385674</v>
      </c>
      <c r="Y59" s="199">
        <f t="shared" si="12"/>
        <v>14461565106.622654</v>
      </c>
      <c r="Z59" s="199">
        <f t="shared" si="12"/>
        <v>15482572804.479279</v>
      </c>
      <c r="AA59" s="199">
        <f t="shared" si="12"/>
        <v>16582052036.718019</v>
      </c>
      <c r="AB59" s="199">
        <f t="shared" si="12"/>
        <v>17766082675.877636</v>
      </c>
      <c r="AC59" s="199">
        <f t="shared" si="12"/>
        <v>19041216719.16721</v>
      </c>
      <c r="AD59" s="199">
        <f t="shared" si="12"/>
        <v>20414515006.938293</v>
      </c>
      <c r="AE59" s="199">
        <f t="shared" si="12"/>
        <v>21893586800.512527</v>
      </c>
      <c r="AF59" s="199">
        <f t="shared" si="12"/>
        <v>23486632442.277142</v>
      </c>
    </row>
    <row r="60" spans="3:32" x14ac:dyDescent="0.25">
      <c r="C60" s="4"/>
      <c r="D60" s="5" t="s">
        <v>339</v>
      </c>
      <c r="E60" s="5"/>
      <c r="F60" s="12" t="s">
        <v>19</v>
      </c>
      <c r="G60" s="199">
        <f t="shared" ref="G60:AF60" si="13">G32</f>
        <v>3134434200.5479455</v>
      </c>
      <c r="H60" s="199">
        <f t="shared" si="13"/>
        <v>3379434390.2312679</v>
      </c>
      <c r="I60" s="199">
        <f t="shared" si="13"/>
        <v>3643589229.385097</v>
      </c>
      <c r="J60" s="199">
        <f t="shared" si="13"/>
        <v>3928396620.8869624</v>
      </c>
      <c r="K60" s="199">
        <f t="shared" si="13"/>
        <v>4235471632.0641012</v>
      </c>
      <c r="L60" s="199">
        <f t="shared" si="13"/>
        <v>4566555661.3693333</v>
      </c>
      <c r="M60" s="199">
        <f t="shared" si="13"/>
        <v>4923526322.4096241</v>
      </c>
      <c r="N60" s="199">
        <f t="shared" si="13"/>
        <v>5308408101.4785881</v>
      </c>
      <c r="O60" s="199">
        <f t="shared" si="13"/>
        <v>5723383849.140523</v>
      </c>
      <c r="P60" s="199">
        <f t="shared" si="13"/>
        <v>6170807171.1542454</v>
      </c>
      <c r="Q60" s="199">
        <f t="shared" si="13"/>
        <v>6653215789.1369066</v>
      </c>
      <c r="R60" s="199">
        <f t="shared" si="13"/>
        <v>7173345946.8802061</v>
      </c>
      <c r="S60" s="199">
        <f t="shared" si="13"/>
        <v>7734147944.1754913</v>
      </c>
      <c r="T60" s="199">
        <f t="shared" si="13"/>
        <v>8338802886.4136381</v>
      </c>
      <c r="U60" s="199">
        <f t="shared" si="13"/>
        <v>8990740745.1372337</v>
      </c>
      <c r="V60" s="199">
        <f t="shared" si="13"/>
        <v>9693659832.1753483</v>
      </c>
      <c r="W60" s="199">
        <f t="shared" si="13"/>
        <v>10451547798.02784</v>
      </c>
      <c r="X60" s="199">
        <f t="shared" si="13"/>
        <v>11268704273.832146</v>
      </c>
      <c r="Y60" s="199">
        <f t="shared" si="13"/>
        <v>12149765285.590408</v>
      </c>
      <c r="Z60" s="199">
        <f t="shared" si="13"/>
        <v>13099729579.411512</v>
      </c>
      <c r="AA60" s="199">
        <f t="shared" si="13"/>
        <v>14123987007.388926</v>
      </c>
      <c r="AB60" s="199">
        <f t="shared" si="13"/>
        <v>15228349135.452288</v>
      </c>
      <c r="AC60" s="199">
        <f t="shared" si="13"/>
        <v>16419082247.166025</v>
      </c>
      <c r="AD60" s="199">
        <f t="shared" si="13"/>
        <v>17702942931.073124</v>
      </c>
      <c r="AE60" s="199">
        <f t="shared" si="13"/>
        <v>19087216453.87434</v>
      </c>
      <c r="AF60" s="199">
        <f t="shared" si="13"/>
        <v>20579758137.57642</v>
      </c>
    </row>
    <row r="61" spans="3:32" x14ac:dyDescent="0.25">
      <c r="C61" s="4"/>
      <c r="D61" s="5" t="s">
        <v>340</v>
      </c>
      <c r="E61" s="5"/>
      <c r="F61" s="12" t="s">
        <v>19</v>
      </c>
      <c r="G61" s="199">
        <f t="shared" ref="G61:AF61" si="14">G42+G46+G48</f>
        <v>1501248700</v>
      </c>
      <c r="H61" s="199">
        <f t="shared" si="14"/>
        <v>1549195051.0674591</v>
      </c>
      <c r="I61" s="199">
        <f t="shared" si="14"/>
        <v>1577666368.8083479</v>
      </c>
      <c r="J61" s="199">
        <f t="shared" si="14"/>
        <v>1607600091.7217066</v>
      </c>
      <c r="K61" s="199">
        <f t="shared" si="14"/>
        <v>1639088498.6437454</v>
      </c>
      <c r="L61" s="199">
        <f t="shared" si="14"/>
        <v>1672229838.7600288</v>
      </c>
      <c r="M61" s="199">
        <f t="shared" si="14"/>
        <v>1707128719.4004326</v>
      </c>
      <c r="N61" s="199">
        <f t="shared" si="14"/>
        <v>1743896519.0379975</v>
      </c>
      <c r="O61" s="199">
        <f t="shared" si="14"/>
        <v>1782651827.1299005</v>
      </c>
      <c r="P61" s="199">
        <f t="shared" si="14"/>
        <v>1823520912.54526</v>
      </c>
      <c r="Q61" s="199">
        <f t="shared" si="14"/>
        <v>1866638222.4378817</v>
      </c>
      <c r="R61" s="199">
        <f t="shared" si="14"/>
        <v>1912146913.5428476</v>
      </c>
      <c r="S61" s="199">
        <f t="shared" si="14"/>
        <v>1960199418.0044613</v>
      </c>
      <c r="T61" s="199">
        <f t="shared" si="14"/>
        <v>2010958045.980058</v>
      </c>
      <c r="U61" s="199">
        <f t="shared" si="14"/>
        <v>2064595627.4100938</v>
      </c>
      <c r="V61" s="199">
        <f t="shared" si="14"/>
        <v>2121296195.5002751</v>
      </c>
      <c r="W61" s="199">
        <f t="shared" si="14"/>
        <v>2181255714.6269903</v>
      </c>
      <c r="X61" s="199">
        <f t="shared" si="14"/>
        <v>2244682855.5535269</v>
      </c>
      <c r="Y61" s="199">
        <f t="shared" si="14"/>
        <v>2311799821.0322456</v>
      </c>
      <c r="Z61" s="199">
        <f t="shared" si="14"/>
        <v>2382843225.0677662</v>
      </c>
      <c r="AA61" s="199">
        <f t="shared" si="14"/>
        <v>2458065029.3290939</v>
      </c>
      <c r="AB61" s="199">
        <f t="shared" si="14"/>
        <v>2537733540.4253473</v>
      </c>
      <c r="AC61" s="199">
        <f t="shared" si="14"/>
        <v>2622134472.0011854</v>
      </c>
      <c r="AD61" s="199">
        <f t="shared" si="14"/>
        <v>2711572075.8651676</v>
      </c>
      <c r="AE61" s="199">
        <f t="shared" si="14"/>
        <v>2806370346.6381893</v>
      </c>
      <c r="AF61" s="199">
        <f t="shared" si="14"/>
        <v>2906874304.7007232</v>
      </c>
    </row>
    <row r="62" spans="3:32" x14ac:dyDescent="0.25">
      <c r="C62" s="232" t="s">
        <v>341</v>
      </c>
      <c r="D62" s="51"/>
      <c r="E62" s="51"/>
      <c r="F62" s="52" t="s">
        <v>18</v>
      </c>
      <c r="G62" s="274">
        <f>G63+G64</f>
        <v>4635682900.547945</v>
      </c>
      <c r="H62" s="274">
        <f t="shared" ref="H62:AF62" si="15">H63+H64</f>
        <v>4953496935.3501062</v>
      </c>
      <c r="I62" s="274">
        <f t="shared" si="15"/>
        <v>5232282562.2994499</v>
      </c>
      <c r="J62" s="274">
        <f t="shared" si="15"/>
        <v>5530300314.0762672</v>
      </c>
      <c r="K62" s="274">
        <f t="shared" si="15"/>
        <v>5848804813.5260191</v>
      </c>
      <c r="L62" s="274">
        <f t="shared" si="15"/>
        <v>6189117720.5030003</v>
      </c>
      <c r="M62" s="274">
        <f t="shared" si="15"/>
        <v>6552628906.6307926</v>
      </c>
      <c r="N62" s="274">
        <f t="shared" si="15"/>
        <v>6940797178.6129723</v>
      </c>
      <c r="O62" s="274">
        <f t="shared" si="15"/>
        <v>7355150441.4866447</v>
      </c>
      <c r="P62" s="274">
        <f t="shared" si="15"/>
        <v>7797285174.7773266</v>
      </c>
      <c r="Q62" s="274">
        <f t="shared" si="15"/>
        <v>8268865073.286293</v>
      </c>
      <c r="R62" s="274">
        <f t="shared" si="15"/>
        <v>8762173138.1676941</v>
      </c>
      <c r="S62" s="274">
        <f t="shared" si="15"/>
        <v>9345888379.46978</v>
      </c>
      <c r="T62" s="274">
        <f t="shared" si="15"/>
        <v>9974207743.5695305</v>
      </c>
      <c r="U62" s="274">
        <f t="shared" si="15"/>
        <v>10650581984.14809</v>
      </c>
      <c r="V62" s="274">
        <f t="shared" si="15"/>
        <v>11378729571.012079</v>
      </c>
      <c r="W62" s="274">
        <f t="shared" si="15"/>
        <v>12162657496.216896</v>
      </c>
      <c r="X62" s="274">
        <f t="shared" si="15"/>
        <v>13006683699.483772</v>
      </c>
      <c r="Y62" s="274">
        <f t="shared" si="15"/>
        <v>13915461239.09148</v>
      </c>
      <c r="Z62" s="274">
        <f t="shared" si="15"/>
        <v>14894004344.266499</v>
      </c>
      <c r="AA62" s="274">
        <f t="shared" si="15"/>
        <v>15947716495.707001</v>
      </c>
      <c r="AB62" s="274">
        <f t="shared" si="15"/>
        <v>17082420692.316204</v>
      </c>
      <c r="AC62" s="274">
        <f t="shared" si="15"/>
        <v>18304392074.554039</v>
      </c>
      <c r="AD62" s="274">
        <f t="shared" si="15"/>
        <v>19620393088.112839</v>
      </c>
      <c r="AE62" s="274">
        <f t="shared" si="15"/>
        <v>21037711385.957802</v>
      </c>
      <c r="AF62" s="274">
        <f t="shared" si="15"/>
        <v>22564200682.227856</v>
      </c>
    </row>
    <row r="63" spans="3:32" x14ac:dyDescent="0.25">
      <c r="C63" s="232"/>
      <c r="D63" s="51" t="s">
        <v>342</v>
      </c>
      <c r="E63" s="51"/>
      <c r="F63" s="52" t="s">
        <v>19</v>
      </c>
      <c r="G63" s="274">
        <f t="shared" ref="G63:AF63" si="16">G35</f>
        <v>3134434200.5479455</v>
      </c>
      <c r="H63" s="274">
        <f t="shared" si="16"/>
        <v>3366970885.2826471</v>
      </c>
      <c r="I63" s="274">
        <f t="shared" si="16"/>
        <v>3616140504.0311022</v>
      </c>
      <c r="J63" s="274">
        <f t="shared" si="16"/>
        <v>3883044431.8260608</v>
      </c>
      <c r="K63" s="274">
        <f t="shared" si="16"/>
        <v>4168843907.1211543</v>
      </c>
      <c r="L63" s="274">
        <f t="shared" si="16"/>
        <v>4474761200.1836224</v>
      </c>
      <c r="M63" s="274">
        <f t="shared" si="16"/>
        <v>4802080398.9508724</v>
      </c>
      <c r="N63" s="274">
        <f t="shared" si="16"/>
        <v>5152147718.1977634</v>
      </c>
      <c r="O63" s="274">
        <f t="shared" si="16"/>
        <v>5526371221.7678156</v>
      </c>
      <c r="P63" s="274">
        <f t="shared" si="16"/>
        <v>5926219829.0809479</v>
      </c>
      <c r="Q63" s="274">
        <f t="shared" si="16"/>
        <v>6353221455.789525</v>
      </c>
      <c r="R63" s="274">
        <f t="shared" si="16"/>
        <v>6850026224.6248455</v>
      </c>
      <c r="S63" s="274">
        <f t="shared" si="16"/>
        <v>7385688961.4653187</v>
      </c>
      <c r="T63" s="274">
        <f t="shared" si="16"/>
        <v>7963249697.5894728</v>
      </c>
      <c r="U63" s="274">
        <f t="shared" si="16"/>
        <v>8585986356.7379971</v>
      </c>
      <c r="V63" s="274">
        <f t="shared" si="16"/>
        <v>9257433375.5118046</v>
      </c>
      <c r="W63" s="274">
        <f t="shared" si="16"/>
        <v>9981401781.5899067</v>
      </c>
      <c r="X63" s="274">
        <f t="shared" si="16"/>
        <v>10762000843.930244</v>
      </c>
      <c r="Y63" s="274">
        <f t="shared" si="16"/>
        <v>11603661418.059235</v>
      </c>
      <c r="Z63" s="274">
        <f t="shared" si="16"/>
        <v>12511161119.198732</v>
      </c>
      <c r="AA63" s="274">
        <f t="shared" si="16"/>
        <v>13489651466.377907</v>
      </c>
      <c r="AB63" s="274">
        <f t="shared" si="16"/>
        <v>14544687151.890856</v>
      </c>
      <c r="AC63" s="274">
        <f t="shared" si="16"/>
        <v>15682257602.552853</v>
      </c>
      <c r="AD63" s="274">
        <f t="shared" si="16"/>
        <v>16908821012.247669</v>
      </c>
      <c r="AE63" s="274">
        <f t="shared" si="16"/>
        <v>18231341039.319611</v>
      </c>
      <c r="AF63" s="274">
        <f t="shared" si="16"/>
        <v>19657326377.527134</v>
      </c>
    </row>
    <row r="64" spans="3:32" x14ac:dyDescent="0.25">
      <c r="C64" s="232"/>
      <c r="D64" s="51" t="s">
        <v>343</v>
      </c>
      <c r="E64" s="51"/>
      <c r="F64" s="52" t="s">
        <v>19</v>
      </c>
      <c r="G64" s="274">
        <f>G42+G46+G48+'Customer Calc'!G7+'Customer Calc'!G8+'Customer Calc'!AM7+'Customer Calc'!AM8</f>
        <v>1501248700</v>
      </c>
      <c r="H64" s="274">
        <f>H42+H46+H48+'Customer Calc'!H7+'Customer Calc'!H8+'Customer Calc'!AN7+'Customer Calc'!AN8</f>
        <v>1586526050.0674591</v>
      </c>
      <c r="I64" s="274">
        <f>I42+I46+I48+'Customer Calc'!I7+'Customer Calc'!I8+'Customer Calc'!AO7+'Customer Calc'!AO8</f>
        <v>1616142058.2683482</v>
      </c>
      <c r="J64" s="274">
        <f>J42+J46+J48+'Customer Calc'!J7+'Customer Calc'!J8+'Customer Calc'!AP7+'Customer Calc'!AP8</f>
        <v>1647255882.2502065</v>
      </c>
      <c r="K64" s="274">
        <f>K42+K46+K48+'Customer Calc'!K7+'Customer Calc'!K8+'Customer Calc'!AQ7+'Customer Calc'!AQ8</f>
        <v>1679960906.4048645</v>
      </c>
      <c r="L64" s="274">
        <f>L42+L46+L48+'Customer Calc'!L7+'Customer Calc'!L8+'Customer Calc'!AR7+'Customer Calc'!AR8</f>
        <v>1714356520.3193774</v>
      </c>
      <c r="M64" s="274">
        <f>M42+M46+M48+'Customer Calc'!M7+'Customer Calc'!M8+'Customer Calc'!AS7+'Customer Calc'!AS8</f>
        <v>1750548507.67992</v>
      </c>
      <c r="N64" s="274">
        <f>N42+N46+N48+'Customer Calc'!N7+'Customer Calc'!N8+'Customer Calc'!AT7+'Customer Calc'!AT8</f>
        <v>1788649460.4152086</v>
      </c>
      <c r="O64" s="274">
        <f>O42+O46+O48+'Customer Calc'!O7+'Customer Calc'!O8+'Customer Calc'!AU7+'Customer Calc'!AU8</f>
        <v>1828779219.7188292</v>
      </c>
      <c r="P64" s="274">
        <f>P42+P46+P48+'Customer Calc'!P7+'Customer Calc'!P8+'Customer Calc'!AV7+'Customer Calc'!AV8</f>
        <v>1871065345.6963792</v>
      </c>
      <c r="Q64" s="274">
        <f>Q42+Q46+Q48+'Customer Calc'!Q7+'Customer Calc'!Q8+'Customer Calc'!AW7+'Customer Calc'!AW8</f>
        <v>1915643617.4967682</v>
      </c>
      <c r="R64" s="274">
        <f>R42+R46+R48+'Customer Calc'!R7+'Customer Calc'!R8+'Customer Calc'!AX7+'Customer Calc'!AX8</f>
        <v>1912146913.5428476</v>
      </c>
      <c r="S64" s="274">
        <f>S42+S46+S48+'Customer Calc'!S7+'Customer Calc'!S8+'Customer Calc'!AY7+'Customer Calc'!AY8</f>
        <v>1960199418.0044613</v>
      </c>
      <c r="T64" s="274">
        <f>T42+T46+T48+'Customer Calc'!T7+'Customer Calc'!T8+'Customer Calc'!AZ7+'Customer Calc'!AZ8</f>
        <v>2010958045.980058</v>
      </c>
      <c r="U64" s="274">
        <f>U42+U46+U48+'Customer Calc'!U7+'Customer Calc'!U8+'Customer Calc'!BA7+'Customer Calc'!BA8</f>
        <v>2064595627.4100938</v>
      </c>
      <c r="V64" s="274">
        <f>V42+V46+V48+'Customer Calc'!V7+'Customer Calc'!V8+'Customer Calc'!BB7+'Customer Calc'!BB8</f>
        <v>2121296195.5002751</v>
      </c>
      <c r="W64" s="274">
        <f>W42+W46+W48+'Customer Calc'!W7+'Customer Calc'!W8+'Customer Calc'!BC7+'Customer Calc'!BC8</f>
        <v>2181255714.6269903</v>
      </c>
      <c r="X64" s="274">
        <f>X42+X46+X48+'Customer Calc'!X7+'Customer Calc'!X8+'Customer Calc'!BD7+'Customer Calc'!BD8</f>
        <v>2244682855.5535269</v>
      </c>
      <c r="Y64" s="274">
        <f>Y42+Y46+Y48+'Customer Calc'!Y7+'Customer Calc'!Y8+'Customer Calc'!BE7+'Customer Calc'!BE8</f>
        <v>2311799821.0322456</v>
      </c>
      <c r="Z64" s="274">
        <f>Z42+Z46+Z48+'Customer Calc'!Z7+'Customer Calc'!Z8+'Customer Calc'!BF7+'Customer Calc'!BF8</f>
        <v>2382843225.0677662</v>
      </c>
      <c r="AA64" s="274">
        <f>AA42+AA46+AA48+'Customer Calc'!AA7+'Customer Calc'!AA8+'Customer Calc'!BG7+'Customer Calc'!BG8</f>
        <v>2458065029.3290939</v>
      </c>
      <c r="AB64" s="274">
        <f>AB42+AB46+AB48+'Customer Calc'!AB7+'Customer Calc'!AB8+'Customer Calc'!BH7+'Customer Calc'!BH8</f>
        <v>2537733540.4253473</v>
      </c>
      <c r="AC64" s="274">
        <f>AC42+AC46+AC48+'Customer Calc'!AC7+'Customer Calc'!AC8+'Customer Calc'!BI7+'Customer Calc'!BI8</f>
        <v>2622134472.0011854</v>
      </c>
      <c r="AD64" s="274">
        <f>AD42+AD46+AD48+'Customer Calc'!AD7+'Customer Calc'!AD8+'Customer Calc'!BJ7+'Customer Calc'!BJ8</f>
        <v>2711572075.8651676</v>
      </c>
      <c r="AE64" s="274">
        <f>AE42+AE46+AE48+'Customer Calc'!AE7+'Customer Calc'!AE8+'Customer Calc'!BK7+'Customer Calc'!BK8</f>
        <v>2806370346.6381893</v>
      </c>
      <c r="AF64" s="274">
        <f>AF42+AF46+AF48+'Customer Calc'!AF7+'Customer Calc'!AF8+'Customer Calc'!BL7+'Customer Calc'!BL8</f>
        <v>2906874304.7007232</v>
      </c>
    </row>
    <row r="65" spans="3:33" x14ac:dyDescent="0.25">
      <c r="C65" s="779" t="s">
        <v>349</v>
      </c>
      <c r="D65" s="780"/>
      <c r="E65" s="780"/>
      <c r="F65" s="780"/>
      <c r="G65" s="246"/>
      <c r="H65" s="201"/>
      <c r="I65" s="201"/>
      <c r="J65" s="60"/>
      <c r="K65" s="201"/>
      <c r="L65" s="201"/>
      <c r="M65" s="201"/>
      <c r="N65" s="201"/>
      <c r="O65" s="201"/>
      <c r="P65" s="201"/>
      <c r="Q65" s="201"/>
      <c r="R65" s="201"/>
      <c r="S65" s="201"/>
      <c r="T65" s="201"/>
      <c r="U65" s="201"/>
      <c r="V65" s="201"/>
      <c r="W65" s="201"/>
      <c r="X65" s="201"/>
      <c r="Y65" s="201"/>
      <c r="Z65" s="201"/>
      <c r="AA65" s="201"/>
      <c r="AB65" s="201"/>
      <c r="AC65" s="201"/>
      <c r="AD65" s="201"/>
      <c r="AE65" s="201"/>
      <c r="AF65" s="201"/>
    </row>
    <row r="66" spans="3:33" x14ac:dyDescent="0.25">
      <c r="C66" s="4" t="s">
        <v>344</v>
      </c>
      <c r="D66" s="5"/>
      <c r="E66" s="68"/>
      <c r="F66" s="12" t="s">
        <v>18</v>
      </c>
      <c r="G66" s="199">
        <f>(G7*'Customer Calc'!G24+G16*'Customer Calc'!AM24+IF('Customer Sector'!$F$59,'Customer Calc'!G189*'Customer Calc'!G110*12,0)+IF('Customer Sector'!$L$59,'Customer Calc'!AM189*'Customer Calc'!AM110*12,0)-G59)*(1-'Utility Sector'!$E$27)</f>
        <v>1185657829.9668493</v>
      </c>
      <c r="H66" s="199">
        <f ca="1">(H7*'Customer Calc'!H24+H16*'Customer Calc'!AN24+IF('Customer Sector'!$F$59,'Customer Calc'!H189*'Customer Calc'!H110*12,0)+IF('Customer Sector'!$L$59,'Customer Calc'!AN189*'Customer Calc'!AN110*12,0)-H59)*(1-'Utility Sector'!$E$27)</f>
        <v>1237850502.8324761</v>
      </c>
      <c r="I66" s="199">
        <f ca="1">(I7*'Customer Calc'!I24+I16*'Customer Calc'!AO24+IF('Customer Sector'!$F$59,'Customer Calc'!I189*'Customer Calc'!I110*12,0)+IF('Customer Sector'!$L$59,'Customer Calc'!AO189*'Customer Calc'!AO110*12,0)-I59)*(1-'Utility Sector'!$E$27)</f>
        <v>1266903469.2028508</v>
      </c>
      <c r="J66" s="199">
        <f ca="1">(J7*'Customer Calc'!J24+J16*'Customer Calc'!AP24+IF('Customer Sector'!$F$59,'Customer Calc'!J189*'Customer Calc'!J110*12,0)+IF('Customer Sector'!$L$59,'Customer Calc'!AP189*'Customer Calc'!AP110*12,0)-J59)*(1-'Utility Sector'!$E$27)</f>
        <v>1297752471.837425</v>
      </c>
      <c r="K66" s="199">
        <f ca="1">(K7*'Customer Calc'!K24+K16*'Customer Calc'!AQ24+IF('Customer Sector'!$F$59,'Customer Calc'!K189*'Customer Calc'!K110*12,0)+IF('Customer Sector'!$L$59,'Customer Calc'!AQ189*'Customer Calc'!AQ110*12,0)-K59)*(1-'Utility Sector'!$E$27)</f>
        <v>1330516544.7459149</v>
      </c>
      <c r="L66" s="199">
        <f ca="1">(L7*'Customer Calc'!L24+L16*'Customer Calc'!AR24+IF('Customer Sector'!$F$59,'Customer Calc'!L189*'Customer Calc'!L110*12,0)+IF('Customer Sector'!$L$59,'Customer Calc'!AR189*'Customer Calc'!AR110*12,0)-L59)*(1-'Utility Sector'!$E$27)</f>
        <v>1365322660.3119092</v>
      </c>
      <c r="M66" s="199">
        <f ca="1">(M7*'Customer Calc'!M24+M16*'Customer Calc'!AS24+IF('Customer Sector'!$F$59,'Customer Calc'!M189*'Customer Calc'!M110*12,0)+IF('Customer Sector'!$L$59,'Customer Calc'!AS189*'Customer Calc'!AS110*12,0)-M59)*(1-'Utility Sector'!$E$27)</f>
        <v>1402306262.636893</v>
      </c>
      <c r="N66" s="199">
        <f ca="1">(N7*'Customer Calc'!N24+N16*'Customer Calc'!AT24+IF('Customer Sector'!$F$59,'Customer Calc'!N189*'Customer Calc'!N110*12,0)+IF('Customer Sector'!$L$59,'Customer Calc'!AT189*'Customer Calc'!AT110*12,0)-N59)*(1-'Utility Sector'!$E$27)</f>
        <v>1441611836.9109249</v>
      </c>
      <c r="O66" s="199">
        <f ca="1">(O7*'Customer Calc'!O24+O16*'Customer Calc'!AU24+IF('Customer Sector'!$F$59,'Customer Calc'!O189*'Customer Calc'!O110*12,0)+IF('Customer Sector'!$L$59,'Customer Calc'!AU189*'Customer Calc'!AU110*12,0)-O59)*(1-'Utility Sector'!$E$27)</f>
        <v>1483393517.2434747</v>
      </c>
      <c r="P66" s="199">
        <f ca="1">(P7*'Customer Calc'!P24+P16*'Customer Calc'!AV24+IF('Customer Sector'!$F$59,'Customer Calc'!P189*'Customer Calc'!P110*12,0)+IF('Customer Sector'!$L$59,'Customer Calc'!AV189*'Customer Calc'!AV110*12,0)-P59)*(1-'Utility Sector'!$E$27)</f>
        <v>1527815735.5514896</v>
      </c>
      <c r="Q66" s="199">
        <f ca="1">(Q7*'Customer Calc'!Q24+Q16*'Customer Calc'!AW24+IF('Customer Sector'!$F$59,'Customer Calc'!Q189*'Customer Calc'!Q110*12,0)+IF('Customer Sector'!$L$59,'Customer Calc'!AW189*'Customer Calc'!AW110*12,0)-Q59)*(1-'Utility Sector'!$E$27)</f>
        <v>1575053914.276454</v>
      </c>
      <c r="R66" s="199">
        <f ca="1">(R7*'Customer Calc'!R24+R16*'Customer Calc'!AX24+IF('Customer Sector'!$F$59,'Customer Calc'!R189*'Customer Calc'!R110*12,0)+IF('Customer Sector'!$L$59,'Customer Calc'!AX189*'Customer Calc'!AX110*12,0)-R59)*(1-'Utility Sector'!$E$27)</f>
        <v>1625295205.8887329</v>
      </c>
      <c r="S66" s="199">
        <f ca="1">(S7*'Customer Calc'!S24+S16*'Customer Calc'!AY24+IF('Customer Sector'!$F$59,'Customer Calc'!S189*'Customer Calc'!S110*12,0)+IF('Customer Sector'!$L$59,'Customer Calc'!AY189*'Customer Calc'!AY110*12,0)-S59)*(1-'Utility Sector'!$E$27)</f>
        <v>1678739282.3366129</v>
      </c>
      <c r="T66" s="199">
        <f ca="1">(T7*'Customer Calc'!T24+T16*'Customer Calc'!AZ24+IF('Customer Sector'!$F$59,'Customer Calc'!T189*'Customer Calc'!T110*12,0)+IF('Customer Sector'!$L$59,'Customer Calc'!AZ189*'Customer Calc'!AZ110*12,0)-T59)*(1-'Utility Sector'!$E$27)</f>
        <v>1735599177.8102567</v>
      </c>
      <c r="U66" s="199">
        <f ca="1">(U7*'Customer Calc'!U24+U16*'Customer Calc'!BA24+IF('Customer Sector'!$F$59,'Customer Calc'!U189*'Customer Calc'!U110*12,0)+IF('Customer Sector'!$L$59,'Customer Calc'!BA189*'Customer Calc'!BA110*12,0)-U59)*(1-'Utility Sector'!$E$27)</f>
        <v>1796102188.4180052</v>
      </c>
      <c r="V66" s="199">
        <f ca="1">(V7*'Customer Calc'!V24+V16*'Customer Calc'!BB24+IF('Customer Sector'!$F$59,'Customer Calc'!V189*'Customer Calc'!V110*12,0)+IF('Customer Sector'!$L$59,'Customer Calc'!BB189*'Customer Calc'!BB110*12,0)-V59)*(1-'Utility Sector'!$E$27)</f>
        <v>1860490832.6152959</v>
      </c>
      <c r="W66" s="199">
        <f ca="1">(W7*'Customer Calc'!W24+W16*'Customer Calc'!BC24+IF('Customer Sector'!$F$59,'Customer Calc'!W189*'Customer Calc'!W110*12,0)+IF('Customer Sector'!$L$59,'Customer Calc'!BC189*'Customer Calc'!BC110*12,0)-W59)*(1-'Utility Sector'!$E$27)</f>
        <v>1929023876.485827</v>
      </c>
      <c r="X66" s="199">
        <f ca="1">(X7*'Customer Calc'!X24+X16*'Customer Calc'!BD24+IF('Customer Sector'!$F$59,'Customer Calc'!X189*'Customer Calc'!X110*12,0)+IF('Customer Sector'!$L$59,'Customer Calc'!BD189*'Customer Calc'!BD110*12,0)-X59)*(1-'Utility Sector'!$E$27)</f>
        <v>2001977428.2519035</v>
      </c>
      <c r="Y66" s="199">
        <f ca="1">(Y7*'Customer Calc'!Y24+Y16*'Customer Calc'!BE24+IF('Customer Sector'!$F$59,'Customer Calc'!Y189*'Customer Calc'!Y110*12,0)+IF('Customer Sector'!$L$59,'Customer Calc'!BE189*'Customer Calc'!BE110*12,0)-Y59)*(1-'Utility Sector'!$E$27)</f>
        <v>2079646106.6871021</v>
      </c>
      <c r="Z66" s="199">
        <f ca="1">(Z7*'Customer Calc'!Z24+Z16*'Customer Calc'!BF24+IF('Customer Sector'!$F$59,'Customer Calc'!Z189*'Customer Calc'!Z110*12,0)+IF('Customer Sector'!$L$59,'Customer Calc'!BF189*'Customer Calc'!BF110*12,0)-Z59)*(1-'Utility Sector'!$E$27)</f>
        <v>2162344288.4210472</v>
      </c>
      <c r="AA66" s="199">
        <f ca="1">(AA7*'Customer Calc'!AA24+AA16*'Customer Calc'!BG24+IF('Customer Sector'!$F$59,'Customer Calc'!AA189*'Customer Calc'!AA110*12,0)+IF('Customer Sector'!$L$59,'Customer Calc'!BG189*'Customer Calc'!BG110*12,0)-AA59)*(1-'Utility Sector'!$E$27)</f>
        <v>2250407439.4644418</v>
      </c>
      <c r="AB66" s="199">
        <f ca="1">(AB7*'Customer Calc'!AB24+AB16*'Customer Calc'!BH24+IF('Customer Sector'!$F$59,'Customer Calc'!AB189*'Customer Calc'!AB110*12,0)+IF('Customer Sector'!$L$59,'Customer Calc'!BH189*'Customer Calc'!BH110*12,0)-AB59)*(1-'Utility Sector'!$E$27)</f>
        <v>2344193536.6442547</v>
      </c>
      <c r="AC66" s="199">
        <f ca="1">(AC7*'Customer Calc'!AC24+AC16*'Customer Calc'!BI24+IF('Customer Sector'!$F$59,'Customer Calc'!AC189*'Customer Calc'!AC110*12,0)+IF('Customer Sector'!$L$59,'Customer Calc'!BI189*'Customer Calc'!BI110*12,0)-AC59)*(1-'Utility Sector'!$E$27)</f>
        <v>2444084585.025496</v>
      </c>
      <c r="AD66" s="199">
        <f ca="1">(AD7*'Customer Calc'!AD24+AD16*'Customer Calc'!BJ24+IF('Customer Sector'!$F$59,'Customer Calc'!AD189*'Customer Calc'!AD110*12,0)+IF('Customer Sector'!$L$59,'Customer Calc'!BJ189*'Customer Calc'!BJ110*12,0)-AD59)*(1-'Utility Sector'!$E$27)</f>
        <v>2550488237.8091292</v>
      </c>
      <c r="AE66" s="199">
        <f ca="1">(AE7*'Customer Calc'!AE24+AE16*'Customer Calc'!BK24+IF('Customer Sector'!$F$59,'Customer Calc'!AE189*'Customer Calc'!AE110*12,0)+IF('Customer Sector'!$L$59,'Customer Calc'!BK189*'Customer Calc'!BK110*12,0)-AE59)*(1-'Utility Sector'!$E$27)</f>
        <v>2663839525.6374149</v>
      </c>
      <c r="AF66" s="199">
        <f ca="1">(AF7*'Customer Calc'!AF24+AF16*'Customer Calc'!BL24+IF('Customer Sector'!$F$59,'Customer Calc'!AF189*'Customer Calc'!AF110*12,0)+IF('Customer Sector'!$L$59,'Customer Calc'!BL189*'Customer Calc'!BL110*12,0)-AF59)*(1-'Utility Sector'!$E$27)</f>
        <v>2784602702.7097378</v>
      </c>
    </row>
    <row r="67" spans="3:33" x14ac:dyDescent="0.25">
      <c r="C67" s="4" t="s">
        <v>345</v>
      </c>
      <c r="D67" s="5"/>
      <c r="E67" s="5"/>
      <c r="F67" s="12" t="s">
        <v>19</v>
      </c>
      <c r="G67" s="199">
        <f>(G10*'Customer Calc'!G16+G19*'Customer Calc'!AM16+IF('Customer Sector'!$F$59,'Customer Calc'!G189*'Customer Calc'!G110*12,0)+IF('Customer Sector'!$L$59,'Customer Calc'!AM189*'Customer Calc'!AM110*12,0)-G62)*(1-'Utility Sector'!$E$27)</f>
        <v>1185657829.9668493</v>
      </c>
      <c r="H67" s="199">
        <f ca="1">(H10*'Customer Calc'!H16+H19*'Customer Calc'!AN16+IF('Customer Sector'!$F$59,'Customer Calc'!H189*'Customer Calc'!H110*12,0)+IF('Customer Sector'!$L$59,'Customer Calc'!AN189*'Customer Calc'!AN110*12,0)-H62)*(1-'Utility Sector'!$E$27)</f>
        <v>1230934728.1210544</v>
      </c>
      <c r="I67" s="199">
        <f ca="1">(I10*'Customer Calc'!I16+I19*'Customer Calc'!AO16+IF('Customer Sector'!$F$59,'Customer Calc'!I189*'Customer Calc'!I110*12,0)+IF('Customer Sector'!$L$59,'Customer Calc'!AO189*'Customer Calc'!AO110*12,0)-I62)*(1-'Utility Sector'!$E$27)</f>
        <v>1258682760.6576667</v>
      </c>
      <c r="J67" s="199">
        <f ca="1">(J10*'Customer Calc'!J16+J19*'Customer Calc'!AP16+IF('Customer Sector'!$F$59,'Customer Calc'!J189*'Customer Calc'!J110*12,0)+IF('Customer Sector'!$L$59,'Customer Calc'!AP189*'Customer Calc'!AP110*12,0)-J62)*(1-'Utility Sector'!$E$27)</f>
        <v>1288054122.1646724</v>
      </c>
      <c r="K67" s="199">
        <f ca="1">(K10*'Customer Calc'!K16+K19*'Customer Calc'!AQ16+IF('Customer Sector'!$F$59,'Customer Calc'!K189*'Customer Calc'!K110*12,0)+IF('Customer Sector'!$L$59,'Customer Calc'!AQ189*'Customer Calc'!AQ110*12,0)-K62)*(1-'Utility Sector'!$E$27)</f>
        <v>1319144591.7678859</v>
      </c>
      <c r="L67" s="199">
        <f ca="1">(L10*'Customer Calc'!L16+L19*'Customer Calc'!AR16+IF('Customer Sector'!$F$59,'Customer Calc'!L189*'Customer Calc'!L110*12,0)+IF('Customer Sector'!$L$59,'Customer Calc'!AR189*'Customer Calc'!AR110*12,0)-L62)*(1-'Utility Sector'!$E$27)</f>
        <v>1352054668.419889</v>
      </c>
      <c r="M67" s="199">
        <f ca="1">(M10*'Customer Calc'!M16+M19*'Customer Calc'!AS16+IF('Customer Sector'!$F$59,'Customer Calc'!M189*'Customer Calc'!M110*12,0)+IF('Customer Sector'!$L$59,'Customer Calc'!AS189*'Customer Calc'!AS110*12,0)-M62)*(1-'Utility Sector'!$E$27)</f>
        <v>1386889642.3146341</v>
      </c>
      <c r="N67" s="199">
        <f ca="1">(N10*'Customer Calc'!N16+N19*'Customer Calc'!AT16+IF('Customer Sector'!$F$59,'Customer Calc'!N189*'Customer Calc'!N110*12,0)+IF('Customer Sector'!$L$59,'Customer Calc'!AT189*'Customer Calc'!AT110*12,0)-N62)*(1-'Utility Sector'!$E$27)</f>
        <v>1423759632.5831094</v>
      </c>
      <c r="O67" s="199">
        <f ca="1">(O10*'Customer Calc'!O16+O19*'Customer Calc'!AU16+IF('Customer Sector'!$F$59,'Customer Calc'!O189*'Customer Calc'!O110*12,0)+IF('Customer Sector'!$L$59,'Customer Calc'!AU189*'Customer Calc'!AU110*12,0)-O62)*(1-'Utility Sector'!$E$27)</f>
        <v>1462779582.3799033</v>
      </c>
      <c r="P67" s="199">
        <f ca="1">(P10*'Customer Calc'!P16+P19*'Customer Calc'!AV16+IF('Customer Sector'!$F$59,'Customer Calc'!P189*'Customer Calc'!P110*12,0)+IF('Customer Sector'!$L$59,'Customer Calc'!AV189*'Customer Calc'!AV110*12,0)-P62)*(1-'Utility Sector'!$E$27)</f>
        <v>1504069200.5984383</v>
      </c>
      <c r="Q67" s="199">
        <f ca="1">(Q10*'Customer Calc'!Q16+Q19*'Customer Calc'!AW16+IF('Customer Sector'!$F$59,'Customer Calc'!Q189*'Customer Calc'!Q110*12,0)+IF('Customer Sector'!$L$59,'Customer Calc'!AW189*'Customer Calc'!AW110*12,0)-Q62)*(1-'Utility Sector'!$E$27)</f>
        <v>1547752837.1743309</v>
      </c>
      <c r="R67" s="199">
        <f ca="1">(R10*'Customer Calc'!R16+R19*'Customer Calc'!AX16+IF('Customer Sector'!$F$59,'Customer Calc'!R189*'Customer Calc'!R110*12,0)+IF('Customer Sector'!$L$59,'Customer Calc'!AX189*'Customer Calc'!AX110*12,0)-R62)*(1-'Utility Sector'!$E$27)</f>
        <v>1617346029.2912953</v>
      </c>
      <c r="S67" s="199">
        <f ca="1">(S10*'Customer Calc'!S16+S19*'Customer Calc'!AY16+IF('Customer Sector'!$F$59,'Customer Calc'!S189*'Customer Calc'!S110*12,0)+IF('Customer Sector'!$L$59,'Customer Calc'!AY189*'Customer Calc'!AY110*12,0)-S62)*(1-'Utility Sector'!$E$27)</f>
        <v>1670167489.8343925</v>
      </c>
      <c r="T67" s="199">
        <f ca="1">(T10*'Customer Calc'!T16+T19*'Customer Calc'!AZ16+IF('Customer Sector'!$F$59,'Customer Calc'!T189*'Customer Calc'!T110*12,0)+IF('Customer Sector'!$L$59,'Customer Calc'!AZ189*'Customer Calc'!AZ110*12,0)-T62)*(1-'Utility Sector'!$E$27)</f>
        <v>1726355991.0430694</v>
      </c>
      <c r="U67" s="199">
        <f ca="1">(U10*'Customer Calc'!U16+U19*'Customer Calc'!BA16+IF('Customer Sector'!$F$59,'Customer Calc'!U189*'Customer Calc'!U110*12,0)+IF('Customer Sector'!$L$59,'Customer Calc'!BA189*'Customer Calc'!BA110*12,0)-U62)*(1-'Utility Sector'!$E$27)</f>
        <v>1786135006.5575194</v>
      </c>
      <c r="V67" s="199">
        <f ca="1">(V10*'Customer Calc'!V16+V19*'Customer Calc'!BB16+IF('Customer Sector'!$F$59,'Customer Calc'!V189*'Customer Calc'!V110*12,0)+IF('Customer Sector'!$L$59,'Customer Calc'!BB189*'Customer Calc'!BB110*12,0)-V62)*(1-'Utility Sector'!$E$27)</f>
        <v>1849742932.7449269</v>
      </c>
      <c r="W67" s="199">
        <f ca="1">(W10*'Customer Calc'!W16+W19*'Customer Calc'!BC16+IF('Customer Sector'!$F$59,'Customer Calc'!W189*'Customer Calc'!W110*12,0)+IF('Customer Sector'!$L$59,'Customer Calc'!BC189*'Customer Calc'!BC110*12,0)-W62)*(1-'Utility Sector'!$E$27)</f>
        <v>1917434090.4891942</v>
      </c>
      <c r="X67" s="199">
        <f ca="1">(X10*'Customer Calc'!X16+X19*'Customer Calc'!BD16+IF('Customer Sector'!$F$59,'Customer Calc'!X189*'Customer Calc'!X110*12,0)+IF('Customer Sector'!$L$59,'Customer Calc'!BD189*'Customer Calc'!BD110*12,0)-X62)*(1-'Utility Sector'!$E$27)</f>
        <v>1989479794.3675935</v>
      </c>
      <c r="Y67" s="199">
        <f ca="1">(Y10*'Customer Calc'!Y16+Y19*'Customer Calc'!BE16+IF('Customer Sector'!$F$59,'Customer Calc'!Y189*'Customer Calc'!Y110*12,0)+IF('Customer Sector'!$L$59,'Customer Calc'!BE189*'Customer Calc'!BE110*12,0)-Y62)*(1-'Utility Sector'!$E$27)</f>
        <v>2066169493.7429235</v>
      </c>
      <c r="Z67" s="199">
        <f ca="1">(Z10*'Customer Calc'!Z16+Z19*'Customer Calc'!BF16+IF('Customer Sector'!$F$59,'Customer Calc'!Z189*'Customer Calc'!Z110*12,0)+IF('Customer Sector'!$L$59,'Customer Calc'!BF189*'Customer Calc'!BF110*12,0)-Z62)*(1-'Utility Sector'!$E$27)</f>
        <v>2147811990.6050649</v>
      </c>
      <c r="AA67" s="199">
        <f ca="1">(AA10*'Customer Calc'!AA16+AA19*'Customer Calc'!BG16+IF('Customer Sector'!$F$59,'Customer Calc'!AA189*'Customer Calc'!AA110*12,0)+IF('Customer Sector'!$L$59,'Customer Calc'!BG189*'Customer Calc'!BG110*12,0)-AA62)*(1-'Utility Sector'!$E$27)</f>
        <v>2234736739.3221021</v>
      </c>
      <c r="AB67" s="199">
        <f ca="1">(AB10*'Customer Calc'!AB16+AB19*'Customer Calc'!BH16+IF('Customer Sector'!$F$59,'Customer Calc'!AB189*'Customer Calc'!AB110*12,0)+IF('Customer Sector'!$L$59,'Customer Calc'!BH189*'Customer Calc'!BH110*12,0)-AB62)*(1-'Utility Sector'!$E$27)</f>
        <v>2327295233.8095012</v>
      </c>
      <c r="AC67" s="199">
        <f ca="1">(AC10*'Customer Calc'!AC16+AC19*'Customer Calc'!BI16+IF('Customer Sector'!$F$59,'Customer Calc'!AC189*'Customer Calc'!AC110*12,0)+IF('Customer Sector'!$L$59,'Customer Calc'!BI189*'Customer Calc'!BI110*12,0)-AC62)*(1-'Utility Sector'!$E$27)</f>
        <v>2425862487.9984031</v>
      </c>
      <c r="AD67" s="199">
        <f ca="1">(AD10*'Customer Calc'!AD16+AD19*'Customer Calc'!BJ16+IF('Customer Sector'!$F$59,'Customer Calc'!AD189*'Customer Calc'!AD110*12,0)+IF('Customer Sector'!$L$59,'Customer Calc'!BJ189*'Customer Calc'!BJ110*12,0)-AD62)*(1-'Utility Sector'!$E$27)</f>
        <v>2530838615.8816009</v>
      </c>
      <c r="AE67" s="199">
        <f ca="1">(AE10*'Customer Calc'!AE16+AE19*'Customer Calc'!BK16+IF('Customer Sector'!$F$59,'Customer Calc'!AE189*'Customer Calc'!AE110*12,0)+IF('Customer Sector'!$L$59,'Customer Calc'!BK189*'Customer Calc'!BK110*12,0)-AE62)*(1-'Utility Sector'!$E$27)</f>
        <v>2642650517.8412991</v>
      </c>
      <c r="AF67" s="199">
        <f ca="1">(AF10*'Customer Calc'!AF16+AF19*'Customer Calc'!BL16+IF('Customer Sector'!$F$59,'Customer Calc'!AF189*'Customer Calc'!AF110*12,0)+IF('Customer Sector'!$L$59,'Customer Calc'!BL189*'Customer Calc'!BL110*12,0)-AF62)*(1-'Utility Sector'!$E$27)</f>
        <v>2761753680.4162488</v>
      </c>
    </row>
    <row r="68" spans="3:33" x14ac:dyDescent="0.25">
      <c r="C68" s="4" t="s">
        <v>346</v>
      </c>
      <c r="D68" s="5"/>
      <c r="E68" s="330"/>
      <c r="F68" s="12" t="s">
        <v>19</v>
      </c>
      <c r="G68" s="330">
        <f t="shared" ref="G68:AF68" si="17">G66/G43</f>
        <v>0.11274262634591825</v>
      </c>
      <c r="H68" s="330">
        <f t="shared" ca="1" si="17"/>
        <v>0.1128644854351277</v>
      </c>
      <c r="I68" s="330">
        <f t="shared" ca="1" si="17"/>
        <v>0.11297934188933961</v>
      </c>
      <c r="J68" s="330">
        <f t="shared" ca="1" si="17"/>
        <v>0.11309963337115751</v>
      </c>
      <c r="K68" s="330">
        <f t="shared" ca="1" si="17"/>
        <v>0.11322538434063127</v>
      </c>
      <c r="L68" s="330">
        <f t="shared" ca="1" si="17"/>
        <v>0.11335660413794044</v>
      </c>
      <c r="M68" s="330">
        <f t="shared" ca="1" si="17"/>
        <v>0.11349328658702997</v>
      </c>
      <c r="N68" s="330">
        <f t="shared" ca="1" si="17"/>
        <v>0.1136354097497584</v>
      </c>
      <c r="O68" s="330">
        <f t="shared" ca="1" si="17"/>
        <v>0.11378293584042144</v>
      </c>
      <c r="P68" s="330">
        <f t="shared" ca="1" si="17"/>
        <v>0.11393581130768801</v>
      </c>
      <c r="Q68" s="330">
        <f t="shared" ca="1" si="17"/>
        <v>0.11409396708784088</v>
      </c>
      <c r="R68" s="330">
        <f t="shared" ca="1" si="17"/>
        <v>0.11425731902982689</v>
      </c>
      <c r="S68" s="330">
        <f t="shared" ca="1" si="17"/>
        <v>0.11442576848909682</v>
      </c>
      <c r="T68" s="330">
        <f t="shared" ca="1" si="17"/>
        <v>0.11459920308367065</v>
      </c>
      <c r="U68" s="330">
        <f t="shared" ca="1" si="17"/>
        <v>0.1147774976024083</v>
      </c>
      <c r="V68" s="330">
        <f t="shared" ca="1" si="17"/>
        <v>0.11496051505222719</v>
      </c>
      <c r="W68" s="330">
        <f t="shared" ca="1" si="17"/>
        <v>0.11514810782808443</v>
      </c>
      <c r="X68" s="330">
        <f t="shared" ca="1" si="17"/>
        <v>0.11534011898705014</v>
      </c>
      <c r="Y68" s="330">
        <f t="shared" ca="1" si="17"/>
        <v>0.11553638360580476</v>
      </c>
      <c r="Z68" s="330">
        <f t="shared" ca="1" si="17"/>
        <v>0.11573673019947225</v>
      </c>
      <c r="AA68" s="330">
        <f t="shared" ca="1" si="17"/>
        <v>0.11594098217888327</v>
      </c>
      <c r="AB68" s="330">
        <f t="shared" ca="1" si="17"/>
        <v>0.11614895932317103</v>
      </c>
      <c r="AC68" s="330">
        <f t="shared" ca="1" si="17"/>
        <v>0.11636047924501418</v>
      </c>
      <c r="AD68" s="330">
        <f t="shared" ca="1" si="17"/>
        <v>0.11657535882682742</v>
      </c>
      <c r="AE68" s="330">
        <f t="shared" ca="1" si="17"/>
        <v>0.11679341560770898</v>
      </c>
      <c r="AF68" s="330">
        <f t="shared" ca="1" si="17"/>
        <v>0.11701446910289749</v>
      </c>
    </row>
    <row r="69" spans="3:33" x14ac:dyDescent="0.25">
      <c r="C69" s="4" t="s">
        <v>347</v>
      </c>
      <c r="D69" s="5"/>
      <c r="E69" s="5"/>
      <c r="F69" s="12" t="s">
        <v>19</v>
      </c>
      <c r="G69" s="330">
        <f t="shared" ref="G69:AF69" si="18">G67/G43</f>
        <v>0.11274262634591825</v>
      </c>
      <c r="H69" s="330">
        <f t="shared" ca="1" si="18"/>
        <v>0.11223392031243815</v>
      </c>
      <c r="I69" s="330">
        <f t="shared" ca="1" si="18"/>
        <v>0.11224623927822799</v>
      </c>
      <c r="J69" s="330">
        <f t="shared" ca="1" si="18"/>
        <v>0.11225441841984973</v>
      </c>
      <c r="K69" s="330">
        <f t="shared" ca="1" si="18"/>
        <v>0.11225764459194081</v>
      </c>
      <c r="L69" s="330">
        <f t="shared" ca="1" si="18"/>
        <v>0.11225502240321296</v>
      </c>
      <c r="M69" s="330">
        <f t="shared" ca="1" si="18"/>
        <v>0.11224556848503171</v>
      </c>
      <c r="N69" s="330">
        <f t="shared" ca="1" si="18"/>
        <v>0.11222820532635779</v>
      </c>
      <c r="O69" s="330">
        <f t="shared" ca="1" si="18"/>
        <v>0.11220175458222172</v>
      </c>
      <c r="P69" s="330">
        <f t="shared" ca="1" si="18"/>
        <v>0.112164929739535</v>
      </c>
      <c r="Q69" s="330">
        <f t="shared" ca="1" si="18"/>
        <v>0.11211632799617642</v>
      </c>
      <c r="R69" s="330">
        <f t="shared" ca="1" si="18"/>
        <v>0.11369849648286612</v>
      </c>
      <c r="S69" s="330">
        <f t="shared" ca="1" si="18"/>
        <v>0.1138415003095672</v>
      </c>
      <c r="T69" s="330">
        <f t="shared" ca="1" si="18"/>
        <v>0.11398888829957998</v>
      </c>
      <c r="U69" s="330">
        <f t="shared" ca="1" si="18"/>
        <v>0.1141405582347756</v>
      </c>
      <c r="V69" s="330">
        <f t="shared" ca="1" si="18"/>
        <v>0.11429639777566394</v>
      </c>
      <c r="W69" s="330">
        <f t="shared" ca="1" si="18"/>
        <v>0.11445628542821042</v>
      </c>
      <c r="X69" s="330">
        <f t="shared" ca="1" si="18"/>
        <v>0.11462009159866365</v>
      </c>
      <c r="Y69" s="330">
        <f t="shared" ca="1" si="18"/>
        <v>0.11478767971920649</v>
      </c>
      <c r="Z69" s="330">
        <f t="shared" ca="1" si="18"/>
        <v>0.11495890742605309</v>
      </c>
      <c r="AA69" s="330">
        <f t="shared" ca="1" si="18"/>
        <v>0.11513362777093392</v>
      </c>
      <c r="AB69" s="330">
        <f t="shared" ca="1" si="18"/>
        <v>0.11531169044673087</v>
      </c>
      <c r="AC69" s="330">
        <f t="shared" ca="1" si="18"/>
        <v>0.11549294300837465</v>
      </c>
      <c r="AD69" s="330">
        <f t="shared" ca="1" si="18"/>
        <v>0.11567723207091624</v>
      </c>
      <c r="AE69" s="330">
        <f t="shared" ca="1" si="18"/>
        <v>0.11586440446795025</v>
      </c>
      <c r="AF69" s="330">
        <f t="shared" ca="1" si="18"/>
        <v>0.11605430835515738</v>
      </c>
    </row>
    <row r="70" spans="3:33" x14ac:dyDescent="0.25">
      <c r="C70" s="779" t="s">
        <v>434</v>
      </c>
      <c r="D70" s="780"/>
      <c r="E70" s="780"/>
      <c r="F70" s="780"/>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row>
    <row r="71" spans="3:33" x14ac:dyDescent="0.25">
      <c r="C71" s="4" t="s">
        <v>433</v>
      </c>
      <c r="D71" s="5"/>
      <c r="E71" s="5"/>
      <c r="F71" s="12" t="s">
        <v>18</v>
      </c>
      <c r="G71" s="199">
        <f>G67-SUM(G72:G74)</f>
        <v>1185657829.9668493</v>
      </c>
      <c r="H71" s="199">
        <f t="shared" ref="H71:AF71" ca="1" si="19">H67-SUM(H72:H74)</f>
        <v>1176178087.1724005</v>
      </c>
      <c r="I71" s="199">
        <f t="shared" ca="1" si="19"/>
        <v>1191457520.6084111</v>
      </c>
      <c r="J71" s="199">
        <f t="shared" ca="1" si="19"/>
        <v>1207516478.5210705</v>
      </c>
      <c r="K71" s="199">
        <f t="shared" ca="1" si="19"/>
        <v>1224367378.00846</v>
      </c>
      <c r="L71" s="199">
        <f t="shared" ca="1" si="19"/>
        <v>1242018465.0157759</v>
      </c>
      <c r="M71" s="199">
        <f t="shared" ca="1" si="19"/>
        <v>1260472886.9625092</v>
      </c>
      <c r="N71" s="199">
        <f t="shared" ca="1" si="19"/>
        <v>1279727615.2467</v>
      </c>
      <c r="O71" s="199">
        <f t="shared" ca="1" si="19"/>
        <v>1299772194.8343475</v>
      </c>
      <c r="P71" s="199">
        <f t="shared" ca="1" si="19"/>
        <v>1320587294.5841188</v>
      </c>
      <c r="Q71" s="199">
        <f t="shared" ca="1" si="19"/>
        <v>1342143027.7870133</v>
      </c>
      <c r="R71" s="199">
        <f t="shared" ca="1" si="19"/>
        <v>1465409228.504652</v>
      </c>
      <c r="S71" s="199">
        <f t="shared" ca="1" si="19"/>
        <v>1513844943.1964936</v>
      </c>
      <c r="T71" s="199">
        <f t="shared" ca="1" si="19"/>
        <v>1565382490.604413</v>
      </c>
      <c r="U71" s="199">
        <f t="shared" ca="1" si="19"/>
        <v>1620228106.4503222</v>
      </c>
      <c r="V71" s="199">
        <f t="shared" ca="1" si="19"/>
        <v>1678601819.7124462</v>
      </c>
      <c r="W71" s="199">
        <f t="shared" ca="1" si="19"/>
        <v>1740738380.1857607</v>
      </c>
      <c r="X71" s="199">
        <f t="shared" ca="1" si="19"/>
        <v>1806888248.5516155</v>
      </c>
      <c r="Y71" s="199">
        <f t="shared" ca="1" si="19"/>
        <v>1877318653.165473</v>
      </c>
      <c r="Z71" s="199">
        <f t="shared" ca="1" si="19"/>
        <v>1952314718.0560451</v>
      </c>
      <c r="AA71" s="199">
        <f t="shared" ca="1" si="19"/>
        <v>2032180666.933064</v>
      </c>
      <c r="AB71" s="199">
        <f t="shared" ca="1" si="19"/>
        <v>2117241108.3254297</v>
      </c>
      <c r="AC71" s="199">
        <f t="shared" ca="1" si="19"/>
        <v>2207842407.3186841</v>
      </c>
      <c r="AD71" s="199">
        <f t="shared" ca="1" si="19"/>
        <v>2304354149.7312026</v>
      </c>
      <c r="AE71" s="199">
        <f t="shared" ca="1" si="19"/>
        <v>2407170704.9651814</v>
      </c>
      <c r="AF71" s="199">
        <f t="shared" ca="1" si="19"/>
        <v>2516712894.1912708</v>
      </c>
    </row>
    <row r="72" spans="3:33" x14ac:dyDescent="0.25">
      <c r="C72" s="4" t="s">
        <v>404</v>
      </c>
      <c r="D72" s="5"/>
      <c r="E72" s="5"/>
      <c r="F72" s="12" t="s">
        <v>19</v>
      </c>
      <c r="G72" s="328">
        <f>'Customer Calc'!G22*G10+'Customer Calc'!AM22*G19</f>
        <v>0</v>
      </c>
      <c r="H72" s="328">
        <f>'Customer Calc'!H22*H10+'Customer Calc'!AN22*H19</f>
        <v>31790441</v>
      </c>
      <c r="I72" s="328">
        <f>'Customer Calc'!I22*I10+'Customer Calc'!AO22*I19</f>
        <v>32735671.371999994</v>
      </c>
      <c r="J72" s="328">
        <f>'Customer Calc'!J22*J10+'Customer Calc'!AP22*J19</f>
        <v>33709131.789331995</v>
      </c>
      <c r="K72" s="328">
        <f>'Customer Calc'!K22*K10+'Customer Calc'!AQ22*K19</f>
        <v>34711669.307341114</v>
      </c>
      <c r="L72" s="328">
        <f>'Customer Calc'!L22*L10+'Customer Calc'!AR22*L19</f>
        <v>35744156.521234505</v>
      </c>
      <c r="M72" s="328">
        <f>'Customer Calc'!M22*M10+'Customer Calc'!AS22*M19</f>
        <v>36807492.340001173</v>
      </c>
      <c r="N72" s="328">
        <f>'Customer Calc'!N22*N10+'Customer Calc'!AT22*N19</f>
        <v>37902602.783903465</v>
      </c>
      <c r="O72" s="328">
        <f>'Customer Calc'!O22*O10+'Customer Calc'!AU22*O19</f>
        <v>39030441.806261793</v>
      </c>
      <c r="P72" s="328">
        <f>'Customer Calc'!P22*P10+'Customer Calc'!AV22*P19</f>
        <v>40191992.140276507</v>
      </c>
      <c r="Q72" s="328">
        <f>'Customer Calc'!Q22*Q10+'Customer Calc'!AW22*Q19</f>
        <v>41388266.171653673</v>
      </c>
      <c r="R72" s="328">
        <f>'Customer Calc'!R22*R10+'Customer Calc'!AX22*R19</f>
        <v>0</v>
      </c>
      <c r="S72" s="328">
        <f>'Customer Calc'!S22*S10+'Customer Calc'!AY22*S19</f>
        <v>0</v>
      </c>
      <c r="T72" s="328">
        <f>'Customer Calc'!T22*T10+'Customer Calc'!AZ22*T19</f>
        <v>0</v>
      </c>
      <c r="U72" s="328">
        <f>'Customer Calc'!U22*U10+'Customer Calc'!BA22*U19</f>
        <v>0</v>
      </c>
      <c r="V72" s="328">
        <f>'Customer Calc'!V22*V10+'Customer Calc'!BB22*V19</f>
        <v>0</v>
      </c>
      <c r="W72" s="328">
        <f>'Customer Calc'!W22*W10+'Customer Calc'!BC22*W19</f>
        <v>0</v>
      </c>
      <c r="X72" s="328">
        <f>'Customer Calc'!X22*X10+'Customer Calc'!BD22*X19</f>
        <v>0</v>
      </c>
      <c r="Y72" s="328">
        <f>'Customer Calc'!Y22*Y10+'Customer Calc'!BE22*Y19</f>
        <v>0</v>
      </c>
      <c r="Z72" s="328">
        <f>'Customer Calc'!Z22*Z10+'Customer Calc'!BF22*Z19</f>
        <v>0</v>
      </c>
      <c r="AA72" s="328">
        <f>'Customer Calc'!AA22*AA10+'Customer Calc'!BG22*AA19</f>
        <v>0</v>
      </c>
      <c r="AB72" s="328">
        <f>'Customer Calc'!AB22*AB10+'Customer Calc'!BH22*AB19</f>
        <v>0</v>
      </c>
      <c r="AC72" s="328">
        <f>'Customer Calc'!AC22*AC10+'Customer Calc'!BI22*AC19</f>
        <v>0</v>
      </c>
      <c r="AD72" s="328">
        <f>'Customer Calc'!AD22*AD10+'Customer Calc'!BJ22*AD19</f>
        <v>0</v>
      </c>
      <c r="AE72" s="328">
        <f>'Customer Calc'!AE22*AE10+'Customer Calc'!BK22*AE19</f>
        <v>0</v>
      </c>
      <c r="AF72" s="328">
        <f>'Customer Calc'!AF22*AF10+'Customer Calc'!BL22*AF19</f>
        <v>0</v>
      </c>
    </row>
    <row r="73" spans="3:33" x14ac:dyDescent="0.25">
      <c r="C73" s="4" t="s">
        <v>405</v>
      </c>
      <c r="D73" s="5"/>
      <c r="E73" s="5"/>
      <c r="F73" s="12" t="s">
        <v>19</v>
      </c>
      <c r="G73" s="328">
        <f>'Customer Calc'!G21*G10+'Customer Calc'!AM21*G19</f>
        <v>0</v>
      </c>
      <c r="H73" s="328">
        <f>'Customer Calc'!H21*H10+'Customer Calc'!AN21*H19</f>
        <v>10444652.551956225</v>
      </c>
      <c r="I73" s="328">
        <f>'Customer Calc'!I21*I10+'Customer Calc'!AO21*I19</f>
        <v>21613791.668223508</v>
      </c>
      <c r="J73" s="328">
        <f>'Customer Calc'!J21*J10+'Customer Calc'!AP21*J19</f>
        <v>33581080.460084736</v>
      </c>
      <c r="K73" s="328">
        <f>'Customer Calc'!K21*K10+'Customer Calc'!AQ21*K19</f>
        <v>46428106.156168208</v>
      </c>
      <c r="L73" s="328">
        <f>'Customer Calc'!L21*L10+'Customer Calc'!AR21*L19</f>
        <v>60245271.615400523</v>
      </c>
      <c r="M73" s="328">
        <f>'Customer Calc'!M21*M10+'Customer Calc'!AS21*M19</f>
        <v>75132790.68825832</v>
      </c>
      <c r="N73" s="328">
        <f>'Customer Calc'!N21*N10+'Customer Calc'!AT21*N19</f>
        <v>91201799.818241954</v>
      </c>
      <c r="O73" s="328">
        <f>'Customer Calc'!O21*O10+'Customer Calc'!AU21*O19</f>
        <v>108575599.77723315</v>
      </c>
      <c r="P73" s="328">
        <f>'Customer Calc'!P21*P10+'Customer Calc'!AV21*P19</f>
        <v>127391043.11385515</v>
      </c>
      <c r="Q73" s="328">
        <f>'Customer Calc'!Q21*Q10+'Customer Calc'!AW21*Q19</f>
        <v>147800084.78570524</v>
      </c>
      <c r="R73" s="328">
        <f>'Customer Calc'!R21*R10+'Customer Calc'!AX21*R19</f>
        <v>151936800.78664327</v>
      </c>
      <c r="S73" s="328">
        <f>'Customer Calc'!S21*S10+'Customer Calc'!AY21*S19</f>
        <v>156322546.63789904</v>
      </c>
      <c r="T73" s="328">
        <f>'Customer Calc'!T21*T10+'Customer Calc'!AZ21*T19</f>
        <v>160973500.43865621</v>
      </c>
      <c r="U73" s="328">
        <f>'Customer Calc'!U21*U10+'Customer Calc'!BA21*U19</f>
        <v>165906900.10719725</v>
      </c>
      <c r="V73" s="328">
        <f>'Customer Calc'!V21*V10+'Customer Calc'!BB21*V19</f>
        <v>171141113.03248066</v>
      </c>
      <c r="W73" s="328">
        <f>'Customer Calc'!W21*W10+'Customer Calc'!BC21*W19</f>
        <v>176695710.30343348</v>
      </c>
      <c r="X73" s="328">
        <f>'Customer Calc'!X21*X10+'Customer Calc'!BD21*X19</f>
        <v>182591545.81597805</v>
      </c>
      <c r="Y73" s="328">
        <f>'Customer Calc'!Y21*Y10+'Customer Calc'!BE21*Y19</f>
        <v>188850840.57745063</v>
      </c>
      <c r="Z73" s="328">
        <f>'Customer Calc'!Z21*Z10+'Customer Calc'!BF21*Z19</f>
        <v>195497272.54901975</v>
      </c>
      <c r="AA73" s="328">
        <f>'Customer Calc'!AA21*AA10+'Customer Calc'!BG21*AA19</f>
        <v>202556072.38903797</v>
      </c>
      <c r="AB73" s="328">
        <f>'Customer Calc'!AB21*AB10+'Customer Calc'!BH21*AB19</f>
        <v>210054125.48407152</v>
      </c>
      <c r="AC73" s="328">
        <f>'Customer Calc'!AC21*AC10+'Customer Calc'!BI21*AC19</f>
        <v>218020080.67971879</v>
      </c>
      <c r="AD73" s="328">
        <f>'Customer Calc'!AD21*AD10+'Customer Calc'!BJ21*AD19</f>
        <v>226484466.15039837</v>
      </c>
      <c r="AE73" s="328">
        <f>'Customer Calc'!AE21*AE10+'Customer Calc'!BK21*AE19</f>
        <v>235479812.87611747</v>
      </c>
      <c r="AF73" s="328">
        <f>'Customer Calc'!AF21*AF10+'Customer Calc'!BL21*AF19</f>
        <v>245040786.22497821</v>
      </c>
    </row>
    <row r="74" spans="3:33" x14ac:dyDescent="0.25">
      <c r="C74" s="4" t="s">
        <v>406</v>
      </c>
      <c r="D74" s="5"/>
      <c r="E74" s="5"/>
      <c r="F74" s="12" t="s">
        <v>19</v>
      </c>
      <c r="G74" s="328">
        <f>'Customer Calc'!G23*G10+'Customer Calc'!AM23*G19</f>
        <v>0</v>
      </c>
      <c r="H74" s="328">
        <f>'Customer Calc'!H23*H10+'Customer Calc'!AN23*H19</f>
        <v>12521547.396697763</v>
      </c>
      <c r="I74" s="328">
        <f ca="1">'Customer Calc'!I23*I10+'Customer Calc'!AO23*I19</f>
        <v>12875777.009032195</v>
      </c>
      <c r="J74" s="328">
        <f ca="1">'Customer Calc'!J23*J10+'Customer Calc'!AP23*J19</f>
        <v>13247431.394185206</v>
      </c>
      <c r="K74" s="328">
        <f ca="1">'Customer Calc'!K23*K10+'Customer Calc'!AQ23*K19</f>
        <v>13637438.295916475</v>
      </c>
      <c r="L74" s="328">
        <f ca="1">'Customer Calc'!L23*L10+'Customer Calc'!AR23*L19</f>
        <v>14046775.26747798</v>
      </c>
      <c r="M74" s="328">
        <f ca="1">'Customer Calc'!M23*M10+'Customer Calc'!AS23*M19</f>
        <v>14476472.323865503</v>
      </c>
      <c r="N74" s="328">
        <f ca="1">'Customer Calc'!N23*N10+'Customer Calc'!AT23*N19</f>
        <v>14927614.734264011</v>
      </c>
      <c r="O74" s="328">
        <f ca="1">'Customer Calc'!O23*O10+'Customer Calc'!AU23*O19</f>
        <v>15401345.9620609</v>
      </c>
      <c r="P74" s="328">
        <f ca="1">'Customer Calc'!P23*P10+'Customer Calc'!AV23*P19</f>
        <v>15898870.760187846</v>
      </c>
      <c r="Q74" s="328">
        <f ca="1">'Customer Calc'!Q23*Q10+'Customer Calc'!AW23*Q19</f>
        <v>16421458.429958723</v>
      </c>
      <c r="R74" s="328">
        <f>'Customer Calc'!R23*R10+'Customer Calc'!AX23*R19</f>
        <v>0</v>
      </c>
      <c r="S74" s="328">
        <f>'Customer Calc'!S23*S10+'Customer Calc'!AY23*S19</f>
        <v>0</v>
      </c>
      <c r="T74" s="328">
        <f>'Customer Calc'!T23*T10+'Customer Calc'!AZ23*T19</f>
        <v>0</v>
      </c>
      <c r="U74" s="328">
        <f>'Customer Calc'!U23*U10+'Customer Calc'!BA23*U19</f>
        <v>0</v>
      </c>
      <c r="V74" s="328">
        <f>'Customer Calc'!V23*V10+'Customer Calc'!BB23*V19</f>
        <v>0</v>
      </c>
      <c r="W74" s="328">
        <f>'Customer Calc'!W23*W10+'Customer Calc'!BC23*W19</f>
        <v>0</v>
      </c>
      <c r="X74" s="328">
        <f>'Customer Calc'!X23*X10+'Customer Calc'!BD23*X19</f>
        <v>0</v>
      </c>
      <c r="Y74" s="328">
        <f>'Customer Calc'!Y23*Y10+'Customer Calc'!BE23*Y19</f>
        <v>0</v>
      </c>
      <c r="Z74" s="328">
        <f>'Customer Calc'!Z23*Z10+'Customer Calc'!BF23*Z19</f>
        <v>0</v>
      </c>
      <c r="AA74" s="328">
        <f>'Customer Calc'!AA23*AA10+'Customer Calc'!BG23*AA19</f>
        <v>0</v>
      </c>
      <c r="AB74" s="328">
        <f>'Customer Calc'!AB23*AB10+'Customer Calc'!BH23*AB19</f>
        <v>0</v>
      </c>
      <c r="AC74" s="328">
        <f>'Customer Calc'!AC23*AC10+'Customer Calc'!BI23*AC19</f>
        <v>0</v>
      </c>
      <c r="AD74" s="328">
        <f>'Customer Calc'!AD23*AD10+'Customer Calc'!BJ23*AD19</f>
        <v>0</v>
      </c>
      <c r="AE74" s="328">
        <f>'Customer Calc'!AE23*AE10+'Customer Calc'!BK23*AE19</f>
        <v>0</v>
      </c>
      <c r="AF74" s="328">
        <f>'Customer Calc'!AF23*AF10+'Customer Calc'!BL23*AF19</f>
        <v>0</v>
      </c>
    </row>
    <row r="75" spans="3:33" x14ac:dyDescent="0.25">
      <c r="C75" s="770" t="s">
        <v>113</v>
      </c>
      <c r="D75" s="771"/>
      <c r="E75" s="771"/>
      <c r="F75" s="771"/>
      <c r="G75" s="771"/>
      <c r="H75" s="771"/>
      <c r="I75" s="771"/>
      <c r="J75" s="771"/>
      <c r="K75" s="771"/>
      <c r="L75" s="771"/>
      <c r="M75" s="772"/>
      <c r="N75" s="21"/>
      <c r="O75" s="21"/>
      <c r="P75" s="21"/>
      <c r="Q75" s="21"/>
      <c r="R75" s="21"/>
      <c r="S75" s="21"/>
      <c r="T75" s="21"/>
      <c r="U75" s="21"/>
      <c r="V75" s="21"/>
      <c r="W75" s="21"/>
      <c r="X75" s="21"/>
      <c r="Y75" s="21"/>
      <c r="Z75" s="21"/>
      <c r="AA75" s="21"/>
      <c r="AB75" s="21"/>
      <c r="AC75" s="21"/>
      <c r="AD75" s="21"/>
      <c r="AE75" s="21"/>
      <c r="AF75" s="21"/>
      <c r="AG75" s="233"/>
    </row>
    <row r="76" spans="3:33" x14ac:dyDescent="0.25">
      <c r="C76" s="773" t="s">
        <v>3</v>
      </c>
      <c r="D76" s="774"/>
      <c r="E76" s="774"/>
      <c r="F76" s="774"/>
      <c r="G76" s="168" t="s">
        <v>24</v>
      </c>
      <c r="H76" s="168" t="s">
        <v>0</v>
      </c>
      <c r="I76" s="168" t="s">
        <v>1</v>
      </c>
      <c r="J76" s="168" t="s">
        <v>9</v>
      </c>
      <c r="K76" s="168" t="s">
        <v>10</v>
      </c>
      <c r="L76" s="168" t="s">
        <v>11</v>
      </c>
      <c r="M76" s="168" t="s">
        <v>12</v>
      </c>
      <c r="N76" s="168" t="s">
        <v>13</v>
      </c>
      <c r="O76" s="168" t="s">
        <v>14</v>
      </c>
      <c r="P76" s="168" t="s">
        <v>15</v>
      </c>
      <c r="Q76" s="168" t="s">
        <v>16</v>
      </c>
      <c r="R76" s="168" t="s">
        <v>39</v>
      </c>
      <c r="S76" s="168" t="s">
        <v>41</v>
      </c>
      <c r="T76" s="168" t="s">
        <v>42</v>
      </c>
      <c r="U76" s="168" t="s">
        <v>43</v>
      </c>
      <c r="V76" s="168" t="s">
        <v>44</v>
      </c>
      <c r="W76" s="168" t="s">
        <v>45</v>
      </c>
      <c r="X76" s="168" t="s">
        <v>46</v>
      </c>
      <c r="Y76" s="168" t="s">
        <v>47</v>
      </c>
      <c r="Z76" s="168" t="s">
        <v>48</v>
      </c>
      <c r="AA76" s="168" t="s">
        <v>49</v>
      </c>
      <c r="AB76" s="168" t="s">
        <v>50</v>
      </c>
      <c r="AC76" s="168" t="s">
        <v>51</v>
      </c>
      <c r="AD76" s="168" t="s">
        <v>52</v>
      </c>
      <c r="AE76" s="168" t="s">
        <v>53</v>
      </c>
      <c r="AF76" s="168" t="s">
        <v>54</v>
      </c>
      <c r="AG76" s="234"/>
    </row>
    <row r="77" spans="3:33" x14ac:dyDescent="0.25">
      <c r="C77" s="783"/>
      <c r="D77" s="784"/>
      <c r="E77" s="784"/>
      <c r="F77" s="784"/>
      <c r="G77" s="5">
        <v>0</v>
      </c>
      <c r="H77" s="5">
        <v>1</v>
      </c>
      <c r="I77" s="5">
        <v>2</v>
      </c>
      <c r="J77" s="5">
        <v>3</v>
      </c>
      <c r="K77" s="5">
        <v>4</v>
      </c>
      <c r="L77" s="5">
        <v>5</v>
      </c>
      <c r="M77" s="5">
        <v>6</v>
      </c>
      <c r="N77" s="5">
        <v>7</v>
      </c>
      <c r="O77" s="5">
        <v>8</v>
      </c>
      <c r="P77" s="5">
        <v>9</v>
      </c>
      <c r="Q77" s="5">
        <v>10</v>
      </c>
      <c r="R77" s="5">
        <v>11</v>
      </c>
      <c r="S77" s="5">
        <v>12</v>
      </c>
      <c r="T77" s="5">
        <v>13</v>
      </c>
      <c r="U77" s="5">
        <v>14</v>
      </c>
      <c r="V77" s="5">
        <v>15</v>
      </c>
      <c r="W77" s="5">
        <v>16</v>
      </c>
      <c r="X77" s="5">
        <v>17</v>
      </c>
      <c r="Y77" s="5">
        <v>18</v>
      </c>
      <c r="Z77" s="5">
        <v>19</v>
      </c>
      <c r="AA77" s="5">
        <v>20</v>
      </c>
      <c r="AB77" s="5">
        <v>21</v>
      </c>
      <c r="AC77" s="5">
        <v>22</v>
      </c>
      <c r="AD77" s="5">
        <v>23</v>
      </c>
      <c r="AE77" s="5">
        <v>24</v>
      </c>
      <c r="AF77" s="5">
        <v>25</v>
      </c>
      <c r="AG77" s="234"/>
    </row>
    <row r="78" spans="3:33" x14ac:dyDescent="0.25">
      <c r="C78" s="90" t="s">
        <v>560</v>
      </c>
      <c r="D78" s="91"/>
      <c r="E78" s="21"/>
      <c r="F78" s="11"/>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77"/>
      <c r="AG78" s="234"/>
    </row>
    <row r="79" spans="3:33" x14ac:dyDescent="0.25">
      <c r="C79" s="90"/>
      <c r="D79" s="101" t="s">
        <v>461</v>
      </c>
      <c r="E79" s="15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234"/>
    </row>
    <row r="80" spans="3:33" x14ac:dyDescent="0.25">
      <c r="C80" s="90"/>
      <c r="D80" s="101"/>
      <c r="E80" s="101" t="s">
        <v>564</v>
      </c>
      <c r="F80" s="12" t="s">
        <v>18</v>
      </c>
      <c r="G80" s="328">
        <f>'Customer Calc'!G116*IF('Utility Sector'!$E$47,'Utility Sector'!$E$48,1)+G86</f>
        <v>0</v>
      </c>
      <c r="H80" s="328">
        <f>'Customer Calc'!H116*IF('Utility Sector'!$E$47,'Utility Sector'!$E$48,1)+H86</f>
        <v>26910772.911317106</v>
      </c>
      <c r="I80" s="328">
        <f ca="1">'Customer Calc'!I116*IF('Utility Sector'!$E$47,'Utility Sector'!$E$48,1)+I86</f>
        <v>26902566.84905209</v>
      </c>
      <c r="J80" s="328">
        <f ca="1">'Customer Calc'!J116*IF('Utility Sector'!$E$47,'Utility Sector'!$E$48,1)+J86</f>
        <v>26894985.806029573</v>
      </c>
      <c r="K80" s="328">
        <f ca="1">'Customer Calc'!K116*IF('Utility Sector'!$E$47,'Utility Sector'!$E$48,1)+K86</f>
        <v>26888029.79987704</v>
      </c>
      <c r="L80" s="328">
        <f ca="1">'Customer Calc'!L116*IF('Utility Sector'!$E$47,'Utility Sector'!$E$48,1)+L86</f>
        <v>26881698.862808075</v>
      </c>
      <c r="M80" s="328">
        <f ca="1">'Customer Calc'!M116*IF('Utility Sector'!$E$47,'Utility Sector'!$E$48,1)+M86</f>
        <v>26875993.041627668</v>
      </c>
      <c r="N80" s="328">
        <f ca="1">'Customer Calc'!N116*IF('Utility Sector'!$E$47,'Utility Sector'!$E$48,1)+N86</f>
        <v>26870912.397737794</v>
      </c>
      <c r="O80" s="328">
        <f ca="1">'Customer Calc'!O116*IF('Utility Sector'!$E$47,'Utility Sector'!$E$48,1)+O86</f>
        <v>26866457.007143468</v>
      </c>
      <c r="P80" s="328">
        <f ca="1">'Customer Calc'!P116*IF('Utility Sector'!$E$47,'Utility Sector'!$E$48,1)+P86</f>
        <v>26862626.960458994</v>
      </c>
      <c r="Q80" s="328">
        <f ca="1">'Customer Calc'!Q116*IF('Utility Sector'!$E$47,'Utility Sector'!$E$48,1)+Q86</f>
        <v>26859422.362914644</v>
      </c>
      <c r="R80" s="328">
        <f>'Customer Calc'!R116*IF('Utility Sector'!$E$47,'Utility Sector'!$E$48,1)+R86</f>
        <v>0</v>
      </c>
      <c r="S80" s="328">
        <f>'Customer Calc'!S116*IF('Utility Sector'!$E$47,'Utility Sector'!$E$48,1)+S86</f>
        <v>0</v>
      </c>
      <c r="T80" s="328">
        <f>'Customer Calc'!T116*IF('Utility Sector'!$E$47,'Utility Sector'!$E$48,1)+T86</f>
        <v>0</v>
      </c>
      <c r="U80" s="328">
        <f>'Customer Calc'!U116*IF('Utility Sector'!$E$47,'Utility Sector'!$E$48,1)+U86</f>
        <v>0</v>
      </c>
      <c r="V80" s="328">
        <f>'Customer Calc'!V116*IF('Utility Sector'!$E$47,'Utility Sector'!$E$48,1)+V86</f>
        <v>0</v>
      </c>
      <c r="W80" s="328">
        <f>'Customer Calc'!W116*IF('Utility Sector'!$E$47,'Utility Sector'!$E$48,1)+W86</f>
        <v>0</v>
      </c>
      <c r="X80" s="328">
        <f>'Customer Calc'!X116*IF('Utility Sector'!$E$47,'Utility Sector'!$E$48,1)+X86</f>
        <v>0</v>
      </c>
      <c r="Y80" s="328">
        <f>'Customer Calc'!Y116*IF('Utility Sector'!$E$47,'Utility Sector'!$E$48,1)+Y86</f>
        <v>0</v>
      </c>
      <c r="Z80" s="328">
        <f>'Customer Calc'!Z116*IF('Utility Sector'!$E$47,'Utility Sector'!$E$48,1)+Z86</f>
        <v>0</v>
      </c>
      <c r="AA80" s="328">
        <f>'Customer Calc'!AA116*IF('Utility Sector'!$E$47,'Utility Sector'!$E$48,1)+AA86</f>
        <v>0</v>
      </c>
      <c r="AB80" s="328">
        <f>'Customer Calc'!AB116*IF('Utility Sector'!$E$47,'Utility Sector'!$E$48,1)+AB86</f>
        <v>0</v>
      </c>
      <c r="AC80" s="328">
        <f>'Customer Calc'!AC116*IF('Utility Sector'!$E$47,'Utility Sector'!$E$48,1)+AC86</f>
        <v>0</v>
      </c>
      <c r="AD80" s="328">
        <f>'Customer Calc'!AD116*IF('Utility Sector'!$E$47,'Utility Sector'!$E$48,1)+AD86</f>
        <v>0</v>
      </c>
      <c r="AE80" s="328">
        <f>'Customer Calc'!AE116*IF('Utility Sector'!$E$47,'Utility Sector'!$E$48,1)+AE86</f>
        <v>0</v>
      </c>
      <c r="AF80" s="328">
        <f>'Customer Calc'!AF116*IF('Utility Sector'!$E$47,'Utility Sector'!$E$48,1)+AF86</f>
        <v>0</v>
      </c>
      <c r="AG80" s="234"/>
    </row>
    <row r="81" spans="3:33" x14ac:dyDescent="0.25">
      <c r="C81" s="90"/>
      <c r="D81" s="101"/>
      <c r="E81" s="101" t="s">
        <v>591</v>
      </c>
      <c r="F81" s="12" t="s">
        <v>19</v>
      </c>
      <c r="G81" s="328">
        <f>'Customer Calc'!G7+'Customer Calc'!G8</f>
        <v>0</v>
      </c>
      <c r="H81" s="328">
        <f>'Customer Calc'!H7+'Customer Calc'!H8</f>
        <v>18130472</v>
      </c>
      <c r="I81" s="328">
        <f>'Customer Calc'!I7+'Customer Calc'!I8</f>
        <v>18679563.270999998</v>
      </c>
      <c r="J81" s="328">
        <f>'Customer Calc'!J7+'Customer Calc'!J8</f>
        <v>19245396.553402998</v>
      </c>
      <c r="K81" s="328">
        <f>'Customer Calc'!K7+'Customer Calc'!K8</f>
        <v>19828485.749570176</v>
      </c>
      <c r="L81" s="328">
        <f>'Customer Calc'!L7+'Customer Calc'!L8</f>
        <v>20429360.640288211</v>
      </c>
      <c r="M81" s="328">
        <f>'Customer Calc'!M7+'Customer Calc'!M8</f>
        <v>21048567.378507439</v>
      </c>
      <c r="N81" s="328">
        <f>'Customer Calc'!N7+'Customer Calc'!N8</f>
        <v>21686668.998526417</v>
      </c>
      <c r="O81" s="328">
        <f>'Customer Calc'!O7+'Customer Calc'!O8</f>
        <v>22344245.941108808</v>
      </c>
      <c r="P81" s="328">
        <f>'Customer Calc'!P7+'Customer Calc'!P8</f>
        <v>23021896.595034085</v>
      </c>
      <c r="Q81" s="328">
        <f>'Customer Calc'!Q7+'Customer Calc'!Q8</f>
        <v>23720237.855599225</v>
      </c>
      <c r="R81" s="328">
        <f>'Customer Calc'!R7+'Customer Calc'!R8</f>
        <v>0</v>
      </c>
      <c r="S81" s="328">
        <f>'Customer Calc'!S7+'Customer Calc'!S8</f>
        <v>0</v>
      </c>
      <c r="T81" s="328">
        <f>'Customer Calc'!T7+'Customer Calc'!T8</f>
        <v>0</v>
      </c>
      <c r="U81" s="328">
        <f>'Customer Calc'!U7+'Customer Calc'!U8</f>
        <v>0</v>
      </c>
      <c r="V81" s="328">
        <f>'Customer Calc'!V7+'Customer Calc'!V8</f>
        <v>0</v>
      </c>
      <c r="W81" s="328">
        <f>'Customer Calc'!W7+'Customer Calc'!W8</f>
        <v>0</v>
      </c>
      <c r="X81" s="328">
        <f>'Customer Calc'!X7+'Customer Calc'!X8</f>
        <v>0</v>
      </c>
      <c r="Y81" s="328">
        <f>'Customer Calc'!Y7+'Customer Calc'!Y8</f>
        <v>0</v>
      </c>
      <c r="Z81" s="328">
        <f>'Customer Calc'!Z7+'Customer Calc'!Z8</f>
        <v>0</v>
      </c>
      <c r="AA81" s="328">
        <f>'Customer Calc'!AA7+'Customer Calc'!AA8</f>
        <v>0</v>
      </c>
      <c r="AB81" s="328">
        <f>'Customer Calc'!AB7+'Customer Calc'!AB8</f>
        <v>0</v>
      </c>
      <c r="AC81" s="328">
        <f>'Customer Calc'!AC7+'Customer Calc'!AC8</f>
        <v>0</v>
      </c>
      <c r="AD81" s="328">
        <f>'Customer Calc'!AD7+'Customer Calc'!AD8</f>
        <v>0</v>
      </c>
      <c r="AE81" s="328">
        <f>'Customer Calc'!AE7+'Customer Calc'!AE8</f>
        <v>0</v>
      </c>
      <c r="AF81" s="328">
        <f>'Customer Calc'!AF7+'Customer Calc'!AF8</f>
        <v>0</v>
      </c>
      <c r="AG81" s="234"/>
    </row>
    <row r="82" spans="3:33" x14ac:dyDescent="0.25">
      <c r="C82" s="90"/>
      <c r="D82" s="101"/>
      <c r="E82" s="101" t="s">
        <v>424</v>
      </c>
      <c r="F82" s="12" t="s">
        <v>19</v>
      </c>
      <c r="G82" s="199">
        <f>G80-('CBA Calc'!F45+'CBA Calc'!F46)*1000000</f>
        <v>0</v>
      </c>
      <c r="H82" s="199">
        <f>H80-('CBA Calc'!G45+'CBA Calc'!G46)*1000000</f>
        <v>5846951.9113171101</v>
      </c>
      <c r="I82" s="199">
        <f ca="1">I80-('CBA Calc'!H45+'CBA Calc'!H46)*1000000</f>
        <v>5462157.1010520905</v>
      </c>
      <c r="J82" s="199">
        <f ca="1">J80-('CBA Calc'!I45+'CBA Calc'!I46)*1000000</f>
        <v>5069361.609245576</v>
      </c>
      <c r="K82" s="199">
        <f ca="1">K80-('CBA Calc'!J45+'CBA Calc'!J46)*1000000</f>
        <v>4668341.2029605322</v>
      </c>
      <c r="L82" s="199">
        <f ca="1">L80-('CBA Calc'!K45+'CBA Calc'!K46)*1000000</f>
        <v>4258865.540251743</v>
      </c>
      <c r="M82" s="199">
        <f ca="1">M80-('CBA Calc'!L45+'CBA Calc'!L46)*1000000</f>
        <v>3840698.000109259</v>
      </c>
      <c r="N82" s="199">
        <f ca="1">N80-('CBA Calc'!M45+'CBA Calc'!M46)*1000000</f>
        <v>3413595.507652998</v>
      </c>
      <c r="O82" s="199">
        <f ca="1">O80-('CBA Calc'!N45+'CBA Calc'!N46)*1000000</f>
        <v>2977308.354445789</v>
      </c>
      <c r="P82" s="199">
        <f ca="1">P80-('CBA Calc'!O45+'CBA Calc'!O46)*1000000</f>
        <v>2531580.0137880594</v>
      </c>
      <c r="Q82" s="199">
        <f ca="1">Q80-('CBA Calc'!P45+'CBA Calc'!P46)*1000000</f>
        <v>2076146.9508539252</v>
      </c>
      <c r="R82" s="199">
        <f>R80-('CBA Calc'!Q45+'CBA Calc'!Q46)*1000000</f>
        <v>0</v>
      </c>
      <c r="S82" s="199">
        <f>S80-('CBA Calc'!R45+'CBA Calc'!R46)*1000000</f>
        <v>0</v>
      </c>
      <c r="T82" s="199">
        <f>T80-('CBA Calc'!S45+'CBA Calc'!S46)*1000000</f>
        <v>0</v>
      </c>
      <c r="U82" s="199">
        <f>U80-('CBA Calc'!T45+'CBA Calc'!T46)*1000000</f>
        <v>0</v>
      </c>
      <c r="V82" s="199">
        <f>V80-('CBA Calc'!U45+'CBA Calc'!U46)*1000000</f>
        <v>0</v>
      </c>
      <c r="W82" s="199">
        <f>W80-('CBA Calc'!V45+'CBA Calc'!V46)*1000000</f>
        <v>0</v>
      </c>
      <c r="X82" s="199">
        <f>X80-('CBA Calc'!W45+'CBA Calc'!W46)*1000000</f>
        <v>0</v>
      </c>
      <c r="Y82" s="199">
        <f>Y80-('CBA Calc'!X45+'CBA Calc'!X46)*1000000</f>
        <v>0</v>
      </c>
      <c r="Z82" s="199">
        <f>Z80-('CBA Calc'!Y45+'CBA Calc'!Y46)*1000000</f>
        <v>0</v>
      </c>
      <c r="AA82" s="199">
        <f>AA80-('CBA Calc'!Z45+'CBA Calc'!Z46)*1000000</f>
        <v>0</v>
      </c>
      <c r="AB82" s="199">
        <f>AB80-('CBA Calc'!AA45+'CBA Calc'!AA46)*1000000</f>
        <v>0</v>
      </c>
      <c r="AC82" s="199">
        <f>AC80-('CBA Calc'!AB45+'CBA Calc'!AB46)*1000000</f>
        <v>0</v>
      </c>
      <c r="AD82" s="199">
        <f>AD80-('CBA Calc'!AC45+'CBA Calc'!AC46)*1000000</f>
        <v>0</v>
      </c>
      <c r="AE82" s="199">
        <f>AE80-('CBA Calc'!AD45+'CBA Calc'!AD46)*1000000</f>
        <v>0</v>
      </c>
      <c r="AF82" s="199">
        <f>AF80-('CBA Calc'!AE45+'CBA Calc'!AE46)*1000000</f>
        <v>0</v>
      </c>
      <c r="AG82" s="234"/>
    </row>
    <row r="83" spans="3:33" x14ac:dyDescent="0.25">
      <c r="C83" s="90"/>
      <c r="D83" s="101"/>
      <c r="E83" s="101" t="s">
        <v>419</v>
      </c>
      <c r="F83" s="12" t="s">
        <v>19</v>
      </c>
      <c r="G83" s="199">
        <f>G80-G81</f>
        <v>0</v>
      </c>
      <c r="H83" s="199">
        <f t="shared" ref="H83:AF83" si="20">H80-H81</f>
        <v>8780300.9113171063</v>
      </c>
      <c r="I83" s="199">
        <f t="shared" ca="1" si="20"/>
        <v>8223003.5780520923</v>
      </c>
      <c r="J83" s="199">
        <f t="shared" ca="1" si="20"/>
        <v>7649589.2526265755</v>
      </c>
      <c r="K83" s="199">
        <f t="shared" ca="1" si="20"/>
        <v>7059544.0503068641</v>
      </c>
      <c r="L83" s="199">
        <f t="shared" ca="1" si="20"/>
        <v>6452338.2225198634</v>
      </c>
      <c r="M83" s="199">
        <f t="shared" ca="1" si="20"/>
        <v>5827425.6631202288</v>
      </c>
      <c r="N83" s="199">
        <f t="shared" ca="1" si="20"/>
        <v>5184243.3992113769</v>
      </c>
      <c r="O83" s="199">
        <f t="shared" ca="1" si="20"/>
        <v>4522211.0660346597</v>
      </c>
      <c r="P83" s="199">
        <f t="shared" ca="1" si="20"/>
        <v>3840730.3654249087</v>
      </c>
      <c r="Q83" s="199">
        <f t="shared" ca="1" si="20"/>
        <v>3139184.5073154196</v>
      </c>
      <c r="R83" s="199">
        <f t="shared" si="20"/>
        <v>0</v>
      </c>
      <c r="S83" s="199">
        <f t="shared" si="20"/>
        <v>0</v>
      </c>
      <c r="T83" s="199">
        <f t="shared" si="20"/>
        <v>0</v>
      </c>
      <c r="U83" s="199">
        <f t="shared" si="20"/>
        <v>0</v>
      </c>
      <c r="V83" s="199">
        <f t="shared" si="20"/>
        <v>0</v>
      </c>
      <c r="W83" s="199">
        <f t="shared" si="20"/>
        <v>0</v>
      </c>
      <c r="X83" s="199">
        <f t="shared" si="20"/>
        <v>0</v>
      </c>
      <c r="Y83" s="199">
        <f t="shared" si="20"/>
        <v>0</v>
      </c>
      <c r="Z83" s="199">
        <f t="shared" si="20"/>
        <v>0</v>
      </c>
      <c r="AA83" s="199">
        <f t="shared" si="20"/>
        <v>0</v>
      </c>
      <c r="AB83" s="199">
        <f t="shared" si="20"/>
        <v>0</v>
      </c>
      <c r="AC83" s="199">
        <f t="shared" si="20"/>
        <v>0</v>
      </c>
      <c r="AD83" s="199">
        <f t="shared" si="20"/>
        <v>0</v>
      </c>
      <c r="AE83" s="199">
        <f t="shared" si="20"/>
        <v>0</v>
      </c>
      <c r="AF83" s="199">
        <f t="shared" si="20"/>
        <v>0</v>
      </c>
      <c r="AG83" s="234"/>
    </row>
    <row r="84" spans="3:33" x14ac:dyDescent="0.25">
      <c r="C84" s="90"/>
      <c r="D84" s="101"/>
      <c r="E84" s="101" t="s">
        <v>423</v>
      </c>
      <c r="F84" s="12" t="s">
        <v>19</v>
      </c>
      <c r="G84" s="199">
        <f>G87+'CBA Calc'!F84-'CBA Calc'!F79</f>
        <v>0</v>
      </c>
      <c r="H84" s="199">
        <f ca="1">H87+'CBA Calc'!G84*1000000-'CBA Calc'!G79*1000000</f>
        <v>36222438.316260748</v>
      </c>
      <c r="I84" s="199">
        <f ca="1">I87+'CBA Calc'!H84*1000000-'CBA Calc'!H79*1000000</f>
        <v>37984390.295458585</v>
      </c>
      <c r="J84" s="199">
        <f ca="1">J87+'CBA Calc'!I84*1000000-'CBA Calc'!I79*1000000</f>
        <v>39861800.802941829</v>
      </c>
      <c r="K84" s="199">
        <f ca="1">K87+'CBA Calc'!J84*1000000-'CBA Calc'!J79*1000000</f>
        <v>41862248.244533628</v>
      </c>
      <c r="L84" s="199">
        <f ca="1">L87+'CBA Calc'!K84*1000000-'CBA Calc'!K79*1000000</f>
        <v>43993802.993874818</v>
      </c>
      <c r="M84" s="199">
        <f ca="1">M87+'CBA Calc'!L84*1000000-'CBA Calc'!L79*1000000</f>
        <v>46265058.684372135</v>
      </c>
      <c r="N84" s="199">
        <f ca="1">N87+'CBA Calc'!M84*1000000-'CBA Calc'!M79*1000000</f>
        <v>48685165.544221252</v>
      </c>
      <c r="O84" s="199">
        <f ca="1">O87+'CBA Calc'!N84*1000000-'CBA Calc'!N79*1000000</f>
        <v>51263865.952456646</v>
      </c>
      <c r="P84" s="199">
        <f ca="1">P87+'CBA Calc'!O84*1000000-'CBA Calc'!O79*1000000</f>
        <v>54011532.423105113</v>
      </c>
      <c r="Q84" s="199">
        <f ca="1">Q87+'CBA Calc'!P84*1000000-'CBA Calc'!P79*1000000</f>
        <v>56939208.260714054</v>
      </c>
      <c r="R84" s="199">
        <f>R87+'CBA Calc'!Q84*1000000-'CBA Calc'!Q79*1000000</f>
        <v>0</v>
      </c>
      <c r="S84" s="199">
        <f>S87+'CBA Calc'!R84*1000000-'CBA Calc'!R79*1000000</f>
        <v>0</v>
      </c>
      <c r="T84" s="199">
        <f>T87+'CBA Calc'!S84*1000000-'CBA Calc'!S79*1000000</f>
        <v>0</v>
      </c>
      <c r="U84" s="199">
        <f>U87+'CBA Calc'!T84*1000000-'CBA Calc'!T79*1000000</f>
        <v>0</v>
      </c>
      <c r="V84" s="199">
        <f>V87+'CBA Calc'!U84*1000000-'CBA Calc'!U79*1000000</f>
        <v>0</v>
      </c>
      <c r="W84" s="199">
        <f>W87+'CBA Calc'!V84*1000000-'CBA Calc'!V79*1000000</f>
        <v>0</v>
      </c>
      <c r="X84" s="199">
        <f>X87+'CBA Calc'!W84*1000000-'CBA Calc'!W79*1000000</f>
        <v>0</v>
      </c>
      <c r="Y84" s="199">
        <f>Y87+'CBA Calc'!X84*1000000-'CBA Calc'!X79*1000000</f>
        <v>0</v>
      </c>
      <c r="Z84" s="199">
        <f>Z87+'CBA Calc'!Y84*1000000-'CBA Calc'!Y79*1000000</f>
        <v>0</v>
      </c>
      <c r="AA84" s="199">
        <f>AA87+'CBA Calc'!Z84*1000000-'CBA Calc'!Z79*1000000</f>
        <v>0</v>
      </c>
      <c r="AB84" s="199">
        <f>AB87+'CBA Calc'!AA84*1000000-'CBA Calc'!AA79*1000000</f>
        <v>0</v>
      </c>
      <c r="AC84" s="199">
        <f>AC87+'CBA Calc'!AB84*1000000-'CBA Calc'!AB79*1000000</f>
        <v>0</v>
      </c>
      <c r="AD84" s="199">
        <f>AD87+'CBA Calc'!AC84*1000000-'CBA Calc'!AC79*1000000</f>
        <v>0</v>
      </c>
      <c r="AE84" s="199">
        <f>AE87+'CBA Calc'!AD84*1000000-'CBA Calc'!AD79*1000000</f>
        <v>0</v>
      </c>
      <c r="AF84" s="199">
        <f>AF87+'CBA Calc'!AE84*1000000-'CBA Calc'!AE79*1000000</f>
        <v>0</v>
      </c>
      <c r="AG84" s="234"/>
    </row>
    <row r="85" spans="3:33" x14ac:dyDescent="0.25">
      <c r="C85" s="90"/>
      <c r="D85" s="101" t="s">
        <v>562</v>
      </c>
      <c r="E85" s="101"/>
      <c r="F85" s="12"/>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234"/>
    </row>
    <row r="86" spans="3:33" x14ac:dyDescent="0.25">
      <c r="C86" s="90"/>
      <c r="D86" s="101"/>
      <c r="E86" s="101" t="s">
        <v>547</v>
      </c>
      <c r="F86" s="12" t="s">
        <v>18</v>
      </c>
      <c r="G86" s="199">
        <v>0</v>
      </c>
      <c r="H86" s="199">
        <f>SUMPRODUCT('Customer Calc'!H77:$AF77,'CBA Calc'!G19:$AE19,1/((1+'CBA Calc'!$F$59)^(H77:$AF77-H77)))</f>
        <v>12140755.372931011</v>
      </c>
      <c r="I86" s="199">
        <f ca="1">SUMPRODUCT('Customer Calc'!I78:$AF78,'CBA Calc'!H19:$AE19,1/((1+'CBA Calc'!$F$59)^(I77:$AF77-I77)))</f>
        <v>12201459.149795666</v>
      </c>
      <c r="J86" s="199">
        <f ca="1">SUMPRODUCT('Customer Calc'!J79:$AF79,'CBA Calc'!I19:$AE19,1/((1+'CBA Calc'!$F$59)^(J77:$AF77-J77)))</f>
        <v>12262466.445544645</v>
      </c>
      <c r="K86" s="199">
        <f ca="1">SUMPRODUCT('Customer Calc'!K80:$AF80,'CBA Calc'!J19:$AE19,1/((1+'CBA Calc'!$F$59)^(K77:$AF77-K77)))</f>
        <v>12323778.777772363</v>
      </c>
      <c r="L86" s="199">
        <f ca="1">SUMPRODUCT('Customer Calc'!L81:$AF81,'CBA Calc'!K19:$AE19,1/((1+'CBA Calc'!$F$59)^(L77:$AF77-L77)))</f>
        <v>12385397.671661224</v>
      </c>
      <c r="M86" s="199">
        <f ca="1">SUMPRODUCT('Customer Calc'!M82:$AF82,'CBA Calc'!L19:$AE19,1/((1+'CBA Calc'!$F$59)^(M77:$AF77-M77)))</f>
        <v>12447324.660019532</v>
      </c>
      <c r="N86" s="199">
        <f ca="1">SUMPRODUCT('Customer Calc'!N83:$AF83,'CBA Calc'!M19:$AE19,1/((1+'CBA Calc'!$F$59)^(N77:$AF77-N77)))</f>
        <v>12509561.283319624</v>
      </c>
      <c r="O86" s="199">
        <f ca="1">SUMPRODUCT('Customer Calc'!O84:$AF84,'CBA Calc'!N19:$AE19,1/((1+'CBA Calc'!$F$59)^(O77:$AF77-O77)))</f>
        <v>12572109.089736223</v>
      </c>
      <c r="P86" s="199">
        <f ca="1">SUMPRODUCT('Customer Calc'!P85:$AF85,'CBA Calc'!O19:$AE19,1/((1+'CBA Calc'!$F$59)^(P77:$AF77-P77)))</f>
        <v>12634969.635184903</v>
      </c>
      <c r="Q86" s="199">
        <f ca="1">SUMPRODUCT('Customer Calc'!Q86:$AF86,'CBA Calc'!P19:$AE19,1/((1+'CBA Calc'!$F$59)^(Q77:$AF77-Q77)))</f>
        <v>12698144.483360825</v>
      </c>
      <c r="R86" s="199">
        <v>0</v>
      </c>
      <c r="S86" s="199">
        <v>0</v>
      </c>
      <c r="T86" s="199">
        <v>0</v>
      </c>
      <c r="U86" s="199">
        <v>0</v>
      </c>
      <c r="V86" s="199">
        <v>0</v>
      </c>
      <c r="W86" s="199">
        <v>0</v>
      </c>
      <c r="X86" s="199">
        <v>0</v>
      </c>
      <c r="Y86" s="199">
        <v>0</v>
      </c>
      <c r="Z86" s="199">
        <v>0</v>
      </c>
      <c r="AA86" s="199">
        <v>0</v>
      </c>
      <c r="AB86" s="199">
        <v>0</v>
      </c>
      <c r="AC86" s="199">
        <v>0</v>
      </c>
      <c r="AD86" s="199">
        <v>0</v>
      </c>
      <c r="AE86" s="199">
        <v>0</v>
      </c>
      <c r="AF86" s="199">
        <v>0</v>
      </c>
      <c r="AG86" s="234"/>
    </row>
    <row r="87" spans="3:33" x14ac:dyDescent="0.25">
      <c r="C87" s="90"/>
      <c r="D87" s="101"/>
      <c r="E87" s="101" t="s">
        <v>561</v>
      </c>
      <c r="F87" s="12" t="s">
        <v>19</v>
      </c>
      <c r="G87" s="245">
        <v>0</v>
      </c>
      <c r="H87" s="199">
        <f ca="1">SUMPRODUCT('Customer Calc'!H16:$AF16,'Customer Calc'!H65:$AF65*IF('Utility Sector'!$E$47,'Utility Sector'!$E$48,1),1/((1+'CBA Calc'!$F$76)^(H77:$AF77-H77)))</f>
        <v>39155787.316260748</v>
      </c>
      <c r="I87" s="199">
        <f ca="1">SUMPRODUCT('Customer Calc'!I16:$AF16,'Customer Calc'!I66:$AF66*IF('Utility Sector'!$E$47,'Utility Sector'!$E$48,1),1/((1+'CBA Calc'!$F$76)^(I77:$AF77-I77)))</f>
        <v>40745236.772458591</v>
      </c>
      <c r="J87" s="199">
        <f ca="1">SUMPRODUCT('Customer Calc'!J16:$AF16,'Customer Calc'!J67:$AF67*IF('Utility Sector'!$E$47,'Utility Sector'!$E$48,1),1/((1+'CBA Calc'!$F$76)^(J77:$AF77-J77)))</f>
        <v>42442028.446322829</v>
      </c>
      <c r="K87" s="199">
        <f ca="1">SUMPRODUCT('Customer Calc'!K16:$AF16,'Customer Calc'!K68:$AF68*IF('Utility Sector'!$E$47,'Utility Sector'!$E$48,1),1/((1+'CBA Calc'!$F$76)^(K77:$AF77-K77)))</f>
        <v>44253451.091879964</v>
      </c>
      <c r="L87" s="199">
        <f ca="1">SUMPRODUCT('Customer Calc'!L16:$AF16,'Customer Calc'!L69:$AF69*IF('Utility Sector'!$E$47,'Utility Sector'!$E$48,1),1/((1+'CBA Calc'!$F$76)^(L77:$AF77-L77)))</f>
        <v>46187275.676142938</v>
      </c>
      <c r="M87" s="199">
        <f ca="1">SUMPRODUCT('Customer Calc'!M16:$AF16,'Customer Calc'!M70:$AF70*IF('Utility Sector'!$E$47,'Utility Sector'!$E$48,1),1/((1+'CBA Calc'!$F$76)^(M77:$AF77-M77)))</f>
        <v>48251786.347383104</v>
      </c>
      <c r="N87" s="199">
        <f ca="1">SUMPRODUCT('Customer Calc'!N16:$AF16,'Customer Calc'!N71:$AF71*IF('Utility Sector'!$E$47,'Utility Sector'!$E$48,1),1/((1+'CBA Calc'!$F$76)^(N77:$AF77-N77)))</f>
        <v>50455813.435779639</v>
      </c>
      <c r="O87" s="199">
        <f ca="1">SUMPRODUCT('Customer Calc'!O16:$AF16,'Customer Calc'!O72:$AF72*IF('Utility Sector'!$E$47,'Utility Sector'!$E$48,1),1/((1+'CBA Calc'!$F$76)^(O77:$AF77-O77)))</f>
        <v>52808768.66404552</v>
      </c>
      <c r="P87" s="199">
        <f ca="1">SUMPRODUCT('Customer Calc'!P16:$AF16,'Customer Calc'!P73:$AF73*IF('Utility Sector'!$E$47,'Utility Sector'!$E$48,1),1/((1+'CBA Calc'!$F$76)^(P77:$AF77-P77)))</f>
        <v>55320682.774741963</v>
      </c>
      <c r="Q87" s="199">
        <f ca="1">SUMPRODUCT('Customer Calc'!Q16:$AF16,'Customer Calc'!Q74:$AF74*IF('Utility Sector'!$E$47,'Utility Sector'!$E$48,1),1/((1+'CBA Calc'!$F$76)^(Q77:$AF77-Q77)))</f>
        <v>58002245.817175552</v>
      </c>
      <c r="R87" s="328">
        <v>0</v>
      </c>
      <c r="S87" s="328">
        <v>0</v>
      </c>
      <c r="T87" s="328">
        <v>0</v>
      </c>
      <c r="U87" s="328">
        <v>0</v>
      </c>
      <c r="V87" s="328">
        <v>0</v>
      </c>
      <c r="W87" s="328">
        <v>0</v>
      </c>
      <c r="X87" s="328">
        <v>0</v>
      </c>
      <c r="Y87" s="328">
        <v>0</v>
      </c>
      <c r="Z87" s="328">
        <v>0</v>
      </c>
      <c r="AA87" s="328">
        <v>0</v>
      </c>
      <c r="AB87" s="328">
        <v>0</v>
      </c>
      <c r="AC87" s="328">
        <v>0</v>
      </c>
      <c r="AD87" s="328">
        <v>0</v>
      </c>
      <c r="AE87" s="328">
        <v>0</v>
      </c>
      <c r="AF87" s="328">
        <v>0</v>
      </c>
      <c r="AG87" s="234"/>
    </row>
    <row r="88" spans="3:33" x14ac:dyDescent="0.25">
      <c r="C88" s="90"/>
      <c r="D88" s="696" t="s">
        <v>462</v>
      </c>
      <c r="E88" s="423"/>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234"/>
    </row>
    <row r="89" spans="3:33" x14ac:dyDescent="0.25">
      <c r="C89" s="90"/>
      <c r="D89" s="696"/>
      <c r="E89" s="696" t="str">
        <f>E80</f>
        <v>Electric AC</v>
      </c>
      <c r="F89" s="52" t="s">
        <v>18</v>
      </c>
      <c r="G89" s="697">
        <f>'Customer Calc'!AM116*IF('Utility Sector'!$E$47,'Utility Sector'!$E$49,1)+G95</f>
        <v>0</v>
      </c>
      <c r="H89" s="697">
        <f>'Customer Calc'!AN116*IF('Utility Sector'!$E$47,'Utility Sector'!$E$49,1)+H95</f>
        <v>157732548.40277421</v>
      </c>
      <c r="I89" s="697">
        <f>'Customer Calc'!AO116*IF('Utility Sector'!$E$47,'Utility Sector'!$E$49,1)+I95</f>
        <v>163052852.12897372</v>
      </c>
      <c r="J89" s="697">
        <f>'Customer Calc'!AP116*IF('Utility Sector'!$E$47,'Utility Sector'!$E$49,1)+J95</f>
        <v>168612938.77170813</v>
      </c>
      <c r="K89" s="697">
        <f>'Customer Calc'!AQ116*IF('Utility Sector'!$E$47,'Utility Sector'!$E$49,1)+K95</f>
        <v>174424828.50143594</v>
      </c>
      <c r="L89" s="697">
        <f>'Customer Calc'!AR116*IF('Utility Sector'!$E$47,'Utility Sector'!$E$49,1)+L95</f>
        <v>180501162.31392848</v>
      </c>
      <c r="M89" s="697">
        <f>'Customer Calc'!AS116*IF('Utility Sector'!$E$47,'Utility Sector'!$E$49,1)+M95</f>
        <v>186855234.34215969</v>
      </c>
      <c r="N89" s="697">
        <f>'Customer Calc'!AT116*IF('Utility Sector'!$E$47,'Utility Sector'!$E$49,1)+N95</f>
        <v>193501025.85316759</v>
      </c>
      <c r="O89" s="697">
        <f>'Customer Calc'!AU116*IF('Utility Sector'!$E$47,'Utility Sector'!$E$49,1)+O95</f>
        <v>200453241.01779568</v>
      </c>
      <c r="P89" s="697">
        <f>'Customer Calc'!AV116*IF('Utility Sector'!$E$47,'Utility Sector'!$E$49,1)+P95</f>
        <v>207727344.54581136</v>
      </c>
      <c r="Q89" s="697">
        <f>'Customer Calc'!AW116*IF('Utility Sector'!$E$47,'Utility Sector'!$E$49,1)+Q95</f>
        <v>215339601.28372177</v>
      </c>
      <c r="R89" s="697">
        <f>'Customer Calc'!AX116*IF('Utility Sector'!$E$47,'Utility Sector'!$E$49,1)+R95</f>
        <v>0</v>
      </c>
      <c r="S89" s="697">
        <f>'Customer Calc'!AY116*IF('Utility Sector'!$E$47,'Utility Sector'!$E$49,1)+S95</f>
        <v>0</v>
      </c>
      <c r="T89" s="697">
        <f>'Customer Calc'!AZ116*IF('Utility Sector'!$E$47,'Utility Sector'!$E$49,1)+T95</f>
        <v>0</v>
      </c>
      <c r="U89" s="697">
        <f>'Customer Calc'!BA116*IF('Utility Sector'!$E$47,'Utility Sector'!$E$49,1)+U95</f>
        <v>0</v>
      </c>
      <c r="V89" s="697">
        <f>'Customer Calc'!BB116*IF('Utility Sector'!$E$47,'Utility Sector'!$E$49,1)+V95</f>
        <v>0</v>
      </c>
      <c r="W89" s="697">
        <f>'Customer Calc'!BC116*IF('Utility Sector'!$E$47,'Utility Sector'!$E$49,1)+W95</f>
        <v>0</v>
      </c>
      <c r="X89" s="697">
        <f>'Customer Calc'!BD116*IF('Utility Sector'!$E$47,'Utility Sector'!$E$49,1)+X95</f>
        <v>0</v>
      </c>
      <c r="Y89" s="697">
        <f>'Customer Calc'!BE116*IF('Utility Sector'!$E$47,'Utility Sector'!$E$49,1)+Y95</f>
        <v>0</v>
      </c>
      <c r="Z89" s="697">
        <f>'Customer Calc'!BF116*IF('Utility Sector'!$E$47,'Utility Sector'!$E$49,1)+Z95</f>
        <v>0</v>
      </c>
      <c r="AA89" s="697">
        <f>'Customer Calc'!BG116*IF('Utility Sector'!$E$47,'Utility Sector'!$E$49,1)+AA95</f>
        <v>0</v>
      </c>
      <c r="AB89" s="697">
        <f>'Customer Calc'!BH116*IF('Utility Sector'!$E$47,'Utility Sector'!$E$49,1)+AB95</f>
        <v>0</v>
      </c>
      <c r="AC89" s="697">
        <f>'Customer Calc'!BI116*IF('Utility Sector'!$E$47,'Utility Sector'!$E$49,1)+AC95</f>
        <v>0</v>
      </c>
      <c r="AD89" s="697">
        <f>'Customer Calc'!BJ116*IF('Utility Sector'!$E$47,'Utility Sector'!$E$49,1)+AD95</f>
        <v>0</v>
      </c>
      <c r="AE89" s="697">
        <f>'Customer Calc'!BK116*IF('Utility Sector'!$E$47,'Utility Sector'!$E$49,1)+AE95</f>
        <v>0</v>
      </c>
      <c r="AF89" s="697">
        <f>'Customer Calc'!BL116*IF('Utility Sector'!$E$47,'Utility Sector'!$E$49,1)+AF95</f>
        <v>0</v>
      </c>
      <c r="AG89" s="234"/>
    </row>
    <row r="90" spans="3:33" x14ac:dyDescent="0.25">
      <c r="C90" s="90"/>
      <c r="D90" s="696"/>
      <c r="E90" s="696" t="str">
        <f>E81</f>
        <v>Program C</v>
      </c>
      <c r="F90" s="52" t="s">
        <v>19</v>
      </c>
      <c r="G90" s="697">
        <f>'Customer Calc'!AM7+'Customer Calc'!AM8</f>
        <v>0</v>
      </c>
      <c r="H90" s="697">
        <f>'Customer Calc'!AN7+'Customer Calc'!AN8</f>
        <v>19200527</v>
      </c>
      <c r="I90" s="697">
        <f>'Customer Calc'!AO7+'Customer Calc'!AO8</f>
        <v>19796126.188999999</v>
      </c>
      <c r="J90" s="697">
        <f>'Customer Calc'!AP7+'Customer Calc'!AP8</f>
        <v>20410393.975096997</v>
      </c>
      <c r="K90" s="697">
        <f>'Customer Calc'!AQ7+'Customer Calc'!AQ8</f>
        <v>21043922.011548989</v>
      </c>
      <c r="L90" s="697">
        <f>'Customer Calc'!AR7+'Customer Calc'!AR8</f>
        <v>21697320.919060353</v>
      </c>
      <c r="M90" s="697">
        <f>'Customer Calc'!AS7+'Customer Calc'!AS8</f>
        <v>22371220.900979899</v>
      </c>
      <c r="N90" s="697">
        <f>'Customer Calc'!AT7+'Customer Calc'!AT8</f>
        <v>23066272.378684718</v>
      </c>
      <c r="O90" s="697">
        <f>'Customer Calc'!AU7+'Customer Calc'!AU8</f>
        <v>23783146.647819728</v>
      </c>
      <c r="P90" s="697">
        <f>'Customer Calc'!AV7+'Customer Calc'!AV8</f>
        <v>24522536.556085169</v>
      </c>
      <c r="Q90" s="697">
        <f>'Customer Calc'!AW7+'Customer Calc'!AW8</f>
        <v>25285157.203287534</v>
      </c>
      <c r="R90" s="697">
        <f>'Customer Calc'!AX7+'Customer Calc'!AX8</f>
        <v>0</v>
      </c>
      <c r="S90" s="697">
        <f>'Customer Calc'!AY7+'Customer Calc'!AY8</f>
        <v>0</v>
      </c>
      <c r="T90" s="697">
        <f>'Customer Calc'!AZ7+'Customer Calc'!AZ8</f>
        <v>0</v>
      </c>
      <c r="U90" s="697">
        <f>'Customer Calc'!BA7+'Customer Calc'!BA8</f>
        <v>0</v>
      </c>
      <c r="V90" s="697">
        <f>'Customer Calc'!BB7+'Customer Calc'!BB8</f>
        <v>0</v>
      </c>
      <c r="W90" s="697">
        <f>'Customer Calc'!BC7+'Customer Calc'!BC8</f>
        <v>0</v>
      </c>
      <c r="X90" s="697">
        <f>'Customer Calc'!BD7+'Customer Calc'!BD8</f>
        <v>0</v>
      </c>
      <c r="Y90" s="697">
        <f>'Customer Calc'!BE7+'Customer Calc'!BE8</f>
        <v>0</v>
      </c>
      <c r="Z90" s="697">
        <f>'Customer Calc'!BF7+'Customer Calc'!BF8</f>
        <v>0</v>
      </c>
      <c r="AA90" s="697">
        <f>'Customer Calc'!BG7+'Customer Calc'!BG8</f>
        <v>0</v>
      </c>
      <c r="AB90" s="697">
        <f>'Customer Calc'!BH7+'Customer Calc'!BH8</f>
        <v>0</v>
      </c>
      <c r="AC90" s="697">
        <f>'Customer Calc'!BI7+'Customer Calc'!BI8</f>
        <v>0</v>
      </c>
      <c r="AD90" s="697">
        <f>'Customer Calc'!BJ7+'Customer Calc'!BJ8</f>
        <v>0</v>
      </c>
      <c r="AE90" s="697">
        <f>'Customer Calc'!BK7+'Customer Calc'!BK8</f>
        <v>0</v>
      </c>
      <c r="AF90" s="697">
        <f>'Customer Calc'!BL7+'Customer Calc'!BL8</f>
        <v>0</v>
      </c>
      <c r="AG90" s="234"/>
    </row>
    <row r="91" spans="3:33" x14ac:dyDescent="0.25">
      <c r="C91" s="90"/>
      <c r="D91" s="696"/>
      <c r="E91" s="696" t="str">
        <f>E82</f>
        <v>TRC</v>
      </c>
      <c r="F91" s="52" t="s">
        <v>19</v>
      </c>
      <c r="G91" s="274">
        <f>G89-('CBA Calc'!AK45+'CBA Calc'!AK46)</f>
        <v>0</v>
      </c>
      <c r="H91" s="274">
        <f>H89-('CBA Calc'!AL45+'CBA Calc'!AL46)*1000000</f>
        <v>69291774.402774215</v>
      </c>
      <c r="I91" s="274">
        <f>I89-('CBA Calc'!AM45+'CBA Calc'!AM46)*1000000</f>
        <v>68858303.568973735</v>
      </c>
      <c r="J91" s="274">
        <f>J89-('CBA Calc'!AN45+'CBA Calc'!AN46)*1000000</f>
        <v>68285296.018916145</v>
      </c>
      <c r="K91" s="274">
        <f>K89-('CBA Calc'!AO45+'CBA Calc'!AO46)*1000000</f>
        <v>67559580.105121076</v>
      </c>
      <c r="L91" s="274">
        <f>L89-('CBA Calc'!AP45+'CBA Calc'!AP46)*1000000</f>
        <v>66666925.167127684</v>
      </c>
      <c r="M91" s="274">
        <f>M89-('CBA Calc'!AQ45+'CBA Calc'!AQ46)*1000000</f>
        <v>65591961.582704768</v>
      </c>
      <c r="N91" s="274">
        <f>N89-('CBA Calc'!AR45+'CBA Calc'!AR46)*1000000</f>
        <v>64318094.992953271</v>
      </c>
      <c r="O91" s="274">
        <f>O89-('CBA Calc'!AS45+'CBA Calc'!AS46)*1000000</f>
        <v>62827414.286339551</v>
      </c>
      <c r="P91" s="274">
        <f>P89-('CBA Calc'!AT45+'CBA Calc'!AT46)*1000000</f>
        <v>61100592.897610337</v>
      </c>
      <c r="Q91" s="274">
        <f>Q89-('CBA Calc'!AU45+'CBA Calc'!AU46)*1000000</f>
        <v>59116782.946427375</v>
      </c>
      <c r="R91" s="274">
        <f>R89-('CBA Calc'!AV45+'CBA Calc'!AV46)*1000000</f>
        <v>0</v>
      </c>
      <c r="S91" s="274">
        <f>S89-('CBA Calc'!AW45+'CBA Calc'!AW46)*1000000</f>
        <v>0</v>
      </c>
      <c r="T91" s="274">
        <f>T89-('CBA Calc'!AX45+'CBA Calc'!AX46)*1000000</f>
        <v>0</v>
      </c>
      <c r="U91" s="274">
        <f>U89-('CBA Calc'!AY45+'CBA Calc'!AY46)*1000000</f>
        <v>0</v>
      </c>
      <c r="V91" s="274">
        <f>V89-('CBA Calc'!AZ45+'CBA Calc'!AZ46)*1000000</f>
        <v>0</v>
      </c>
      <c r="W91" s="274">
        <f>W89-('CBA Calc'!BA45+'CBA Calc'!BA46)*1000000</f>
        <v>0</v>
      </c>
      <c r="X91" s="274">
        <f>X89-('CBA Calc'!BB45+'CBA Calc'!BB46)*1000000</f>
        <v>0</v>
      </c>
      <c r="Y91" s="274">
        <f>Y89-('CBA Calc'!BC45+'CBA Calc'!BC46)*1000000</f>
        <v>0</v>
      </c>
      <c r="Z91" s="274">
        <f>Z89-('CBA Calc'!BD45+'CBA Calc'!BD46)*1000000</f>
        <v>0</v>
      </c>
      <c r="AA91" s="274">
        <f>AA89-('CBA Calc'!BE45+'CBA Calc'!BE46)*1000000</f>
        <v>0</v>
      </c>
      <c r="AB91" s="274">
        <f>AB89-('CBA Calc'!BF45+'CBA Calc'!BF46)*1000000</f>
        <v>0</v>
      </c>
      <c r="AC91" s="274">
        <f>AC89-('CBA Calc'!BG45+'CBA Calc'!BG46)*1000000</f>
        <v>0</v>
      </c>
      <c r="AD91" s="274">
        <f>AD89-('CBA Calc'!BH45+'CBA Calc'!BH46)*1000000</f>
        <v>0</v>
      </c>
      <c r="AE91" s="274">
        <f>AE89-('CBA Calc'!BI45+'CBA Calc'!BI46)*1000000</f>
        <v>0</v>
      </c>
      <c r="AF91" s="274">
        <f>AF89-('CBA Calc'!BJ45+'CBA Calc'!BJ46)*1000000</f>
        <v>0</v>
      </c>
      <c r="AG91" s="234"/>
    </row>
    <row r="92" spans="3:33" x14ac:dyDescent="0.25">
      <c r="C92" s="90"/>
      <c r="D92" s="696"/>
      <c r="E92" s="696" t="str">
        <f>E83</f>
        <v>PAC</v>
      </c>
      <c r="F92" s="52" t="s">
        <v>19</v>
      </c>
      <c r="G92" s="274">
        <f>G89-G90</f>
        <v>0</v>
      </c>
      <c r="H92" s="274">
        <f t="shared" ref="H92:AF92" si="21">H89-H90</f>
        <v>138532021.40277421</v>
      </c>
      <c r="I92" s="274">
        <f t="shared" si="21"/>
        <v>143256725.93997371</v>
      </c>
      <c r="J92" s="274">
        <f t="shared" si="21"/>
        <v>148202544.79661113</v>
      </c>
      <c r="K92" s="274">
        <f t="shared" si="21"/>
        <v>153380906.48988694</v>
      </c>
      <c r="L92" s="274">
        <f t="shared" si="21"/>
        <v>158803841.39486814</v>
      </c>
      <c r="M92" s="274">
        <f t="shared" si="21"/>
        <v>164484013.44117978</v>
      </c>
      <c r="N92" s="274">
        <f t="shared" si="21"/>
        <v>170434753.47448286</v>
      </c>
      <c r="O92" s="274">
        <f t="shared" si="21"/>
        <v>176670094.36997595</v>
      </c>
      <c r="P92" s="274">
        <f t="shared" si="21"/>
        <v>183204807.98972619</v>
      </c>
      <c r="Q92" s="274">
        <f t="shared" si="21"/>
        <v>190054444.08043423</v>
      </c>
      <c r="R92" s="274">
        <f t="shared" si="21"/>
        <v>0</v>
      </c>
      <c r="S92" s="274">
        <f t="shared" si="21"/>
        <v>0</v>
      </c>
      <c r="T92" s="274">
        <f t="shared" si="21"/>
        <v>0</v>
      </c>
      <c r="U92" s="274">
        <f t="shared" si="21"/>
        <v>0</v>
      </c>
      <c r="V92" s="274">
        <f t="shared" si="21"/>
        <v>0</v>
      </c>
      <c r="W92" s="274">
        <f t="shared" si="21"/>
        <v>0</v>
      </c>
      <c r="X92" s="274">
        <f t="shared" si="21"/>
        <v>0</v>
      </c>
      <c r="Y92" s="274">
        <f t="shared" si="21"/>
        <v>0</v>
      </c>
      <c r="Z92" s="274">
        <f t="shared" si="21"/>
        <v>0</v>
      </c>
      <c r="AA92" s="274">
        <f t="shared" si="21"/>
        <v>0</v>
      </c>
      <c r="AB92" s="274">
        <f t="shared" si="21"/>
        <v>0</v>
      </c>
      <c r="AC92" s="274">
        <f t="shared" si="21"/>
        <v>0</v>
      </c>
      <c r="AD92" s="274">
        <f t="shared" si="21"/>
        <v>0</v>
      </c>
      <c r="AE92" s="274">
        <f t="shared" si="21"/>
        <v>0</v>
      </c>
      <c r="AF92" s="274">
        <f t="shared" si="21"/>
        <v>0</v>
      </c>
      <c r="AG92" s="234"/>
    </row>
    <row r="93" spans="3:33" x14ac:dyDescent="0.25">
      <c r="C93" s="90"/>
      <c r="D93" s="696"/>
      <c r="E93" s="696" t="str">
        <f>E84</f>
        <v>PCT</v>
      </c>
      <c r="F93" s="52" t="s">
        <v>19</v>
      </c>
      <c r="G93" s="274">
        <f>G96+'CBA Calc'!AK84*1000000-'CBA Calc'!AK79*1000000</f>
        <v>0</v>
      </c>
      <c r="H93" s="274">
        <f ca="1">H96+'CBA Calc'!AL84*1000000-'CBA Calc'!AL79*1000000</f>
        <v>146689938.23622456</v>
      </c>
      <c r="I93" s="274">
        <f ca="1">I96+'CBA Calc'!AM84*1000000-'CBA Calc'!AM79*1000000</f>
        <v>167765823.50459653</v>
      </c>
      <c r="J93" s="274">
        <f ca="1">J96+'CBA Calc'!AN84*1000000-'CBA Calc'!AN79*1000000</f>
        <v>191825911.31827858</v>
      </c>
      <c r="K93" s="274">
        <f ca="1">K96+'CBA Calc'!AO84*1000000-'CBA Calc'!AO79*1000000</f>
        <v>219282925.24296907</v>
      </c>
      <c r="L93" s="274">
        <f ca="1">L96+'CBA Calc'!AP84*1000000-'CBA Calc'!AP79*1000000</f>
        <v>250605808.15613174</v>
      </c>
      <c r="M93" s="274">
        <f ca="1">M96+'CBA Calc'!AQ84*1000000-'CBA Calc'!AQ79*1000000</f>
        <v>286327308.9019528</v>
      </c>
      <c r="N93" s="274">
        <f ca="1">N96+'CBA Calc'!AR84*1000000-'CBA Calc'!AR79*1000000</f>
        <v>327052585.37070239</v>
      </c>
      <c r="O93" s="274">
        <f ca="1">O96+'CBA Calc'!AS84*1000000-'CBA Calc'!AS79*1000000</f>
        <v>373468959.02146173</v>
      </c>
      <c r="P93" s="274">
        <f ca="1">P96+'CBA Calc'!AT84*1000000-'CBA Calc'!AT79*1000000</f>
        <v>426356973.54747248</v>
      </c>
      <c r="Q93" s="274">
        <f ca="1">Q96+'CBA Calc'!AU84*1000000-'CBA Calc'!AU79*1000000</f>
        <v>486602930.31150413</v>
      </c>
      <c r="R93" s="274">
        <f>R96+'CBA Calc'!AV84*1000000-'CBA Calc'!AV79*1000000</f>
        <v>0</v>
      </c>
      <c r="S93" s="274">
        <f>S96+'CBA Calc'!AW84*1000000-'CBA Calc'!AW79*1000000</f>
        <v>0</v>
      </c>
      <c r="T93" s="274">
        <f>T96+'CBA Calc'!AX84*1000000-'CBA Calc'!AX79*1000000</f>
        <v>0</v>
      </c>
      <c r="U93" s="274">
        <f>U96+'CBA Calc'!AY84*1000000-'CBA Calc'!AY79*1000000</f>
        <v>0</v>
      </c>
      <c r="V93" s="274">
        <f>V96+'CBA Calc'!AZ84*1000000-'CBA Calc'!AZ79*1000000</f>
        <v>0</v>
      </c>
      <c r="W93" s="274">
        <f>W96+'CBA Calc'!BA84*1000000-'CBA Calc'!BA79*1000000</f>
        <v>0</v>
      </c>
      <c r="X93" s="274">
        <f>X96+'CBA Calc'!BB84*1000000-'CBA Calc'!BB79*1000000</f>
        <v>0</v>
      </c>
      <c r="Y93" s="274">
        <f>Y96+'CBA Calc'!BC84*1000000-'CBA Calc'!BC79*1000000</f>
        <v>0</v>
      </c>
      <c r="Z93" s="274">
        <f>Z96+'CBA Calc'!BD84*1000000-'CBA Calc'!BD79*1000000</f>
        <v>0</v>
      </c>
      <c r="AA93" s="274">
        <f>AA96+'CBA Calc'!BE84*1000000-'CBA Calc'!BE79*1000000</f>
        <v>0</v>
      </c>
      <c r="AB93" s="274">
        <f>AB96+'CBA Calc'!BF84*1000000-'CBA Calc'!BF79*1000000</f>
        <v>0</v>
      </c>
      <c r="AC93" s="274">
        <f>AC96+'CBA Calc'!BG84*1000000-'CBA Calc'!BG79*1000000</f>
        <v>0</v>
      </c>
      <c r="AD93" s="274">
        <f>AD96+'CBA Calc'!BH84*1000000-'CBA Calc'!BH79*1000000</f>
        <v>0</v>
      </c>
      <c r="AE93" s="274">
        <f>AE96+'CBA Calc'!BI84*1000000-'CBA Calc'!BI79*1000000</f>
        <v>0</v>
      </c>
      <c r="AF93" s="274">
        <f>AF96+'CBA Calc'!BJ84*1000000-'CBA Calc'!BJ79*1000000</f>
        <v>0</v>
      </c>
      <c r="AG93" s="234"/>
    </row>
    <row r="94" spans="3:33" x14ac:dyDescent="0.25">
      <c r="C94" s="90"/>
      <c r="D94" s="696" t="s">
        <v>563</v>
      </c>
      <c r="E94" s="696"/>
      <c r="F94" s="52"/>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234"/>
    </row>
    <row r="95" spans="3:33" x14ac:dyDescent="0.25">
      <c r="C95" s="90"/>
      <c r="D95" s="696"/>
      <c r="E95" s="696" t="s">
        <v>547</v>
      </c>
      <c r="F95" s="52" t="s">
        <v>18</v>
      </c>
      <c r="G95" s="697">
        <v>0</v>
      </c>
      <c r="H95" s="697">
        <f>SUMPRODUCT('Customer Calc'!AN77:$BL77,'CBA Calc'!G19:$AE19,1/((1+'Customer Sector'!$L$64)^(H77:$AF77-H77)))</f>
        <v>74278382.156276941</v>
      </c>
      <c r="I95" s="697">
        <f>SUMPRODUCT('Customer Calc'!AO78:$BL78,'CBA Calc'!H19:$AE19,1/((1+'Customer Sector'!$L$64)^(I77:$AF77-I77)))</f>
        <v>75244001.124308527</v>
      </c>
      <c r="J95" s="697">
        <f>SUMPRODUCT('Customer Calc'!AP79:$BL79,'CBA Calc'!I19:$AE19,1/((1+'Customer Sector'!$L$64)^(J77:$AF77-J77)))</f>
        <v>76222173.138924539</v>
      </c>
      <c r="K95" s="697">
        <f>SUMPRODUCT('Customer Calc'!AQ80:$BL80,'CBA Calc'!J19:$AE19,1/((1+'Customer Sector'!$L$64)^(K77:$AF77-K77)))</f>
        <v>77213061.389730558</v>
      </c>
      <c r="L95" s="697">
        <f>SUMPRODUCT('Customer Calc'!AR81:$BL81,'CBA Calc'!K19:$AE19,1/((1+'Customer Sector'!$L$64)^(L77:$AF77-L77)))</f>
        <v>78216831.187797055</v>
      </c>
      <c r="M95" s="697">
        <f>SUMPRODUCT('Customer Calc'!AS82:$BL82,'CBA Calc'!L19:$AE19,1/((1+'Customer Sector'!$L$64)^(M77:$AF77-M77)))</f>
        <v>79233649.993238375</v>
      </c>
      <c r="N95" s="697">
        <f>SUMPRODUCT('Customer Calc'!AT83:$BL83,'CBA Calc'!M19:$AE19,1/((1+'Customer Sector'!$L$64)^(N77:$AF77-N77)))</f>
        <v>80263687.443150461</v>
      </c>
      <c r="O95" s="697">
        <f>SUMPRODUCT('Customer Calc'!AU84:$BL84,'CBA Calc'!N19:$AE19,1/((1+'Customer Sector'!$L$64)^(O77:$AF77-O77)))</f>
        <v>81307115.379911408</v>
      </c>
      <c r="P95" s="697">
        <f>SUMPRODUCT('Customer Calc'!AV85:$BL85,'CBA Calc'!O19:$AE19,1/((1+'Customer Sector'!$L$64)^(P77:$AF77-P77)))</f>
        <v>82364107.879850283</v>
      </c>
      <c r="Q95" s="697">
        <f>SUMPRODUCT('Customer Calc'!AW86:$BL86,'CBA Calc'!P19:$AE19,1/((1+'Customer Sector'!$L$64)^(Q77:$AF77-Q77)))</f>
        <v>83434841.282288298</v>
      </c>
      <c r="R95" s="697">
        <v>0</v>
      </c>
      <c r="S95" s="697">
        <v>0</v>
      </c>
      <c r="T95" s="697">
        <v>0</v>
      </c>
      <c r="U95" s="697">
        <v>0</v>
      </c>
      <c r="V95" s="697">
        <v>0</v>
      </c>
      <c r="W95" s="697">
        <v>0</v>
      </c>
      <c r="X95" s="697">
        <v>0</v>
      </c>
      <c r="Y95" s="697">
        <v>0</v>
      </c>
      <c r="Z95" s="697">
        <v>0</v>
      </c>
      <c r="AA95" s="697">
        <v>0</v>
      </c>
      <c r="AB95" s="697">
        <v>0</v>
      </c>
      <c r="AC95" s="697">
        <v>0</v>
      </c>
      <c r="AD95" s="697">
        <v>0</v>
      </c>
      <c r="AE95" s="697">
        <v>0</v>
      </c>
      <c r="AF95" s="697">
        <v>0</v>
      </c>
      <c r="AG95" s="234"/>
    </row>
    <row r="96" spans="3:33" x14ac:dyDescent="0.25">
      <c r="C96" s="90"/>
      <c r="D96" s="696"/>
      <c r="E96" s="423" t="s">
        <v>561</v>
      </c>
      <c r="F96" s="52" t="s">
        <v>19</v>
      </c>
      <c r="G96" s="697">
        <v>0</v>
      </c>
      <c r="H96" s="697">
        <f ca="1">SUMPRODUCT('Customer Calc'!AN16:$BL16,'Customer Calc'!AN65:$BL65*IF('Utility Sector'!$E$47,'Utility Sector'!$E$49,1),1/((1+'CBA Calc'!$L$76)^(H77:$AF77-H77)))</f>
        <v>215930185.23622456</v>
      </c>
      <c r="I96" s="697">
        <f ca="1">SUMPRODUCT('Customer Calc'!AO16:$BL16,'Customer Calc'!AO66:$BL66*IF('Utility Sector'!$E$47,'Utility Sector'!$E$49,1),1/((1+'CBA Calc'!$L$76)^(I77:$AF77-I77)))</f>
        <v>242164245.87559649</v>
      </c>
      <c r="J96" s="697">
        <f ca="1">SUMPRODUCT('Customer Calc'!AP16:$BL16,'Customer Calc'!AP67:$BL67*IF('Utility Sector'!$E$47,'Utility Sector'!$E$49,1),1/((1+'CBA Calc'!$L$76)^(J77:$AF77-J77)))</f>
        <v>271743160.09597355</v>
      </c>
      <c r="K96" s="697">
        <f ca="1">SUMPRODUCT('Customer Calc'!AQ16:$BL16,'Customer Calc'!AQ68:$BL68*IF('Utility Sector'!$E$47,'Utility Sector'!$E$49,1),1/((1+'CBA Calc'!$L$76)^(K77:$AF77-K77)))</f>
        <v>305104251.6277349</v>
      </c>
      <c r="L96" s="697">
        <f ca="1">SUMPRODUCT('Customer Calc'!AR16:$BL16,'Customer Calc'!AR69:$BL69*IF('Utility Sector'!$E$47,'Utility Sector'!$E$49,1),1/((1+'CBA Calc'!$L$76)^(L77:$AF77-L77)))</f>
        <v>342742724.38387221</v>
      </c>
      <c r="M96" s="697">
        <f ca="1">SUMPRODUCT('Customer Calc'!AS16:$BL16,'Customer Calc'!AS70:$BL70*IF('Utility Sector'!$E$47,'Utility Sector'!$E$49,1),1/((1+'CBA Calc'!$L$76)^(M77:$AF77-M77)))</f>
        <v>385219360.76042783</v>
      </c>
      <c r="N96" s="697">
        <f ca="1">SUMPRODUCT('Customer Calc'!AT16:$BL16,'Customer Calc'!AT71:$BL71*IF('Utility Sector'!$E$47,'Utility Sector'!$E$49,1),1/((1+'CBA Calc'!$L$76)^(N77:$AF77-N77)))</f>
        <v>433169243.85223204</v>
      </c>
      <c r="O96" s="697">
        <f ca="1">SUMPRODUCT('Customer Calc'!AU16:$BL16,'Customer Calc'!AU72:$BL72*IF('Utility Sector'!$E$47,'Utility Sector'!$E$49,1),1/((1+'CBA Calc'!$L$76)^(O77:$AF77-O77)))</f>
        <v>487311639.10509807</v>
      </c>
      <c r="P96" s="697">
        <f ca="1">SUMPRODUCT('Customer Calc'!AV16:$BL16,'Customer Calc'!AV73:$BL73*IF('Utility Sector'!$E$47,'Utility Sector'!$E$49,1),1/((1+'CBA Calc'!$L$76)^(P77:$AF77-P77)))</f>
        <v>548461188.63958836</v>
      </c>
      <c r="Q96" s="697">
        <f ca="1">SUMPRODUCT('Customer Calc'!AW16:$BL16,'Customer Calc'!AW74:$BL74*IF('Utility Sector'!$E$47,'Utility Sector'!$E$49,1),1/((1+'CBA Calc'!$L$76)^(Q77:$AF77-Q77)))</f>
        <v>617540591.44551098</v>
      </c>
      <c r="R96" s="697">
        <v>0</v>
      </c>
      <c r="S96" s="697">
        <v>0</v>
      </c>
      <c r="T96" s="697">
        <v>0</v>
      </c>
      <c r="U96" s="697">
        <v>0</v>
      </c>
      <c r="V96" s="697">
        <v>0</v>
      </c>
      <c r="W96" s="697">
        <v>0</v>
      </c>
      <c r="X96" s="697">
        <v>0</v>
      </c>
      <c r="Y96" s="697">
        <v>0</v>
      </c>
      <c r="Z96" s="697">
        <v>0</v>
      </c>
      <c r="AA96" s="697">
        <v>0</v>
      </c>
      <c r="AB96" s="697">
        <v>0</v>
      </c>
      <c r="AC96" s="697">
        <v>0</v>
      </c>
      <c r="AD96" s="697">
        <v>0</v>
      </c>
      <c r="AE96" s="697">
        <v>0</v>
      </c>
      <c r="AF96" s="697">
        <v>0</v>
      </c>
      <c r="AG96" s="234"/>
    </row>
    <row r="97" spans="3:33" x14ac:dyDescent="0.25">
      <c r="C97" s="10"/>
      <c r="D97" s="11"/>
      <c r="E97" s="11"/>
      <c r="F97" s="11"/>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234"/>
    </row>
    <row r="98" spans="3:33" x14ac:dyDescent="0.25">
      <c r="C98" s="329" t="s">
        <v>583</v>
      </c>
      <c r="D98" s="101"/>
      <c r="E98" s="155"/>
      <c r="F98" s="5"/>
      <c r="G98" s="5"/>
      <c r="H98" s="5"/>
      <c r="I98" s="5"/>
      <c r="J98" s="5"/>
      <c r="K98" s="5"/>
      <c r="L98" s="5"/>
      <c r="M98" s="5"/>
      <c r="N98" s="5"/>
      <c r="O98" s="5"/>
      <c r="P98" s="5"/>
      <c r="Q98" s="5"/>
      <c r="R98" s="5"/>
      <c r="S98" s="5"/>
      <c r="T98" s="5"/>
      <c r="U98" s="5"/>
      <c r="V98" s="5"/>
      <c r="W98" s="5"/>
      <c r="X98" s="5"/>
      <c r="Y98" s="5"/>
      <c r="Z98" s="5"/>
      <c r="AA98" s="5"/>
      <c r="AB98" s="5"/>
      <c r="AC98" s="5"/>
      <c r="AD98" s="5"/>
      <c r="AE98" s="5"/>
      <c r="AF98" s="167"/>
      <c r="AG98" s="234"/>
    </row>
    <row r="99" spans="3:33" x14ac:dyDescent="0.25">
      <c r="C99" s="329"/>
      <c r="D99" s="101" t="s">
        <v>584</v>
      </c>
      <c r="E99" s="155"/>
      <c r="F99" s="5"/>
      <c r="G99" s="199">
        <f>SUM(G100:G101)</f>
        <v>0</v>
      </c>
      <c r="H99" s="199">
        <f>H100+H101</f>
        <v>147312322.31409132</v>
      </c>
      <c r="I99" s="199">
        <f t="shared" ref="I99:AF99" ca="1" si="22">I100+I101</f>
        <v>151479729.51802582</v>
      </c>
      <c r="J99" s="199">
        <f t="shared" ca="1" si="22"/>
        <v>155852134.0492377</v>
      </c>
      <c r="K99" s="199">
        <f t="shared" ca="1" si="22"/>
        <v>160440450.5401938</v>
      </c>
      <c r="L99" s="199">
        <f t="shared" ca="1" si="22"/>
        <v>165256179.61738801</v>
      </c>
      <c r="M99" s="199">
        <f t="shared" ca="1" si="22"/>
        <v>170311439.10430002</v>
      </c>
      <c r="N99" s="199">
        <f t="shared" ca="1" si="22"/>
        <v>175618996.87369424</v>
      </c>
      <c r="O99" s="199">
        <f t="shared" ca="1" si="22"/>
        <v>181192305.4360106</v>
      </c>
      <c r="P99" s="199">
        <f t="shared" ca="1" si="22"/>
        <v>187045538.35515109</v>
      </c>
      <c r="Q99" s="199">
        <f t="shared" ca="1" si="22"/>
        <v>193193628.58774966</v>
      </c>
      <c r="R99" s="199">
        <f t="shared" si="22"/>
        <v>0</v>
      </c>
      <c r="S99" s="199">
        <f t="shared" si="22"/>
        <v>0</v>
      </c>
      <c r="T99" s="199">
        <f t="shared" si="22"/>
        <v>0</v>
      </c>
      <c r="U99" s="199">
        <f t="shared" si="22"/>
        <v>0</v>
      </c>
      <c r="V99" s="199">
        <f t="shared" si="22"/>
        <v>0</v>
      </c>
      <c r="W99" s="199">
        <f t="shared" si="22"/>
        <v>0</v>
      </c>
      <c r="X99" s="199">
        <f t="shared" si="22"/>
        <v>0</v>
      </c>
      <c r="Y99" s="199">
        <f t="shared" si="22"/>
        <v>0</v>
      </c>
      <c r="Z99" s="199">
        <f t="shared" si="22"/>
        <v>0</v>
      </c>
      <c r="AA99" s="199">
        <f t="shared" si="22"/>
        <v>0</v>
      </c>
      <c r="AB99" s="199">
        <f t="shared" si="22"/>
        <v>0</v>
      </c>
      <c r="AC99" s="199">
        <f t="shared" si="22"/>
        <v>0</v>
      </c>
      <c r="AD99" s="199">
        <f t="shared" si="22"/>
        <v>0</v>
      </c>
      <c r="AE99" s="199">
        <f t="shared" si="22"/>
        <v>0</v>
      </c>
      <c r="AF99" s="199">
        <f t="shared" si="22"/>
        <v>0</v>
      </c>
      <c r="AG99" s="234"/>
    </row>
    <row r="100" spans="3:33" x14ac:dyDescent="0.25">
      <c r="C100" s="329"/>
      <c r="D100" s="101"/>
      <c r="E100" s="155" t="s">
        <v>443</v>
      </c>
      <c r="F100" s="5"/>
      <c r="G100" s="199">
        <f>IF('Utility Sector'!$E$34=TRUE,INDEX($E$80:$AF$84,(MATCH('Utility Sector'!$E$35,$E$80:$E$84,0)),3+G$77),0)</f>
        <v>0</v>
      </c>
      <c r="H100" s="199">
        <f>IF('Utility Sector'!$E$34=TRUE,INDEX($E$80:$AF$84,(MATCH('Utility Sector'!$E$35,$E$80:$E$84,0)),3+H$77),0)</f>
        <v>8780300.9113171063</v>
      </c>
      <c r="I100" s="199">
        <f ca="1">IF('Utility Sector'!$E$34=TRUE,INDEX($E$80:$AF$84,(MATCH('Utility Sector'!$E$35,$E$80:$E$84,0)),3+I$77),0)</f>
        <v>8223003.5780520923</v>
      </c>
      <c r="J100" s="199">
        <f ca="1">IF('Utility Sector'!$E$34=TRUE,INDEX($E$80:$AF$84,(MATCH('Utility Sector'!$E$35,$E$80:$E$84,0)),3+J$77),0)</f>
        <v>7649589.2526265755</v>
      </c>
      <c r="K100" s="199">
        <f ca="1">IF('Utility Sector'!$E$34=TRUE,INDEX($E$80:$AF$84,(MATCH('Utility Sector'!$E$35,$E$80:$E$84,0)),3+K$77),0)</f>
        <v>7059544.0503068641</v>
      </c>
      <c r="L100" s="199">
        <f ca="1">IF('Utility Sector'!$E$34=TRUE,INDEX($E$80:$AF$84,(MATCH('Utility Sector'!$E$35,$E$80:$E$84,0)),3+L$77),0)</f>
        <v>6452338.2225198634</v>
      </c>
      <c r="M100" s="199">
        <f ca="1">IF('Utility Sector'!$E$34=TRUE,INDEX($E$80:$AF$84,(MATCH('Utility Sector'!$E$35,$E$80:$E$84,0)),3+M$77),0)</f>
        <v>5827425.6631202288</v>
      </c>
      <c r="N100" s="199">
        <f ca="1">IF('Utility Sector'!$E$34=TRUE,INDEX($E$80:$AF$84,(MATCH('Utility Sector'!$E$35,$E$80:$E$84,0)),3+N$77),0)</f>
        <v>5184243.3992113769</v>
      </c>
      <c r="O100" s="199">
        <f ca="1">IF('Utility Sector'!$E$34=TRUE,INDEX($E$80:$AF$84,(MATCH('Utility Sector'!$E$35,$E$80:$E$84,0)),3+O$77),0)</f>
        <v>4522211.0660346597</v>
      </c>
      <c r="P100" s="199">
        <f ca="1">IF('Utility Sector'!$E$34=TRUE,INDEX($E$80:$AF$84,(MATCH('Utility Sector'!$E$35,$E$80:$E$84,0)),3+P$77),0)</f>
        <v>3840730.3654249087</v>
      </c>
      <c r="Q100" s="199">
        <f ca="1">IF('Utility Sector'!$E$34=TRUE,INDEX($E$80:$AF$84,(MATCH('Utility Sector'!$E$35,$E$80:$E$84,0)),3+Q$77),0)</f>
        <v>3139184.5073154196</v>
      </c>
      <c r="R100" s="199">
        <f>IF('Utility Sector'!$E$34=TRUE,INDEX($E$80:$AF$84,(MATCH('Utility Sector'!$E$35,$E$80:$E$84,0)),3+R$77),0)</f>
        <v>0</v>
      </c>
      <c r="S100" s="199">
        <f>IF('Utility Sector'!$E$34=TRUE,INDEX($E$80:$AF$84,(MATCH('Utility Sector'!$E$35,$E$80:$E$84,0)),3+S$77),0)</f>
        <v>0</v>
      </c>
      <c r="T100" s="199">
        <f>IF('Utility Sector'!$E$34=TRUE,INDEX($E$80:$AF$84,(MATCH('Utility Sector'!$E$35,$E$80:$E$84,0)),3+T$77),0)</f>
        <v>0</v>
      </c>
      <c r="U100" s="199">
        <f>IF('Utility Sector'!$E$34=TRUE,INDEX($E$80:$AF$84,(MATCH('Utility Sector'!$E$35,$E$80:$E$84,0)),3+U$77),0)</f>
        <v>0</v>
      </c>
      <c r="V100" s="199">
        <f>IF('Utility Sector'!$E$34=TRUE,INDEX($E$80:$AF$84,(MATCH('Utility Sector'!$E$35,$E$80:$E$84,0)),3+V$77),0)</f>
        <v>0</v>
      </c>
      <c r="W100" s="199">
        <f>IF('Utility Sector'!$E$34=TRUE,INDEX($E$80:$AF$84,(MATCH('Utility Sector'!$E$35,$E$80:$E$84,0)),3+W$77),0)</f>
        <v>0</v>
      </c>
      <c r="X100" s="199">
        <f>IF('Utility Sector'!$E$34=TRUE,INDEX($E$80:$AF$84,(MATCH('Utility Sector'!$E$35,$E$80:$E$84,0)),3+X$77),0)</f>
        <v>0</v>
      </c>
      <c r="Y100" s="199">
        <f>IF('Utility Sector'!$E$34=TRUE,INDEX($E$80:$AF$84,(MATCH('Utility Sector'!$E$35,$E$80:$E$84,0)),3+Y$77),0)</f>
        <v>0</v>
      </c>
      <c r="Z100" s="199">
        <f>IF('Utility Sector'!$E$34=TRUE,INDEX($E$80:$AF$84,(MATCH('Utility Sector'!$E$35,$E$80:$E$84,0)),3+Z$77),0)</f>
        <v>0</v>
      </c>
      <c r="AA100" s="199">
        <f>IF('Utility Sector'!$E$34=TRUE,INDEX($E$80:$AF$84,(MATCH('Utility Sector'!$E$35,$E$80:$E$84,0)),3+AA$77),0)</f>
        <v>0</v>
      </c>
      <c r="AB100" s="199">
        <f>IF('Utility Sector'!$E$34=TRUE,INDEX($E$80:$AF$84,(MATCH('Utility Sector'!$E$35,$E$80:$E$84,0)),3+AB$77),0)</f>
        <v>0</v>
      </c>
      <c r="AC100" s="199">
        <f>IF('Utility Sector'!$E$34=TRUE,INDEX($E$80:$AF$84,(MATCH('Utility Sector'!$E$35,$E$80:$E$84,0)),3+AC$77),0)</f>
        <v>0</v>
      </c>
      <c r="AD100" s="199">
        <f>IF('Utility Sector'!$E$34=TRUE,INDEX($E$80:$AF$84,(MATCH('Utility Sector'!$E$35,$E$80:$E$84,0)),3+AD$77),0)</f>
        <v>0</v>
      </c>
      <c r="AE100" s="199">
        <f>IF('Utility Sector'!$E$34=TRUE,INDEX($E$80:$AF$84,(MATCH('Utility Sector'!$E$35,$E$80:$E$84,0)),3+AE$77),0)</f>
        <v>0</v>
      </c>
      <c r="AF100" s="199">
        <f>IF('Utility Sector'!$E$34=TRUE,INDEX($E$80:$AF$84,(MATCH('Utility Sector'!$E$35,$E$80:$E$84,0)),3+AF$77),0)</f>
        <v>0</v>
      </c>
      <c r="AG100" s="234"/>
    </row>
    <row r="101" spans="3:33" x14ac:dyDescent="0.25">
      <c r="C101" s="329"/>
      <c r="D101" s="101"/>
      <c r="E101" s="155" t="s">
        <v>444</v>
      </c>
      <c r="F101" s="5"/>
      <c r="G101" s="199">
        <f>IF('Utility Sector'!$E$34=TRUE,INDEX($E$89:$AF$93,(MATCH('Utility Sector'!$E$35,$E$89:$E$93,0)),3+G$77),0)</f>
        <v>0</v>
      </c>
      <c r="H101" s="199">
        <f>IF('Utility Sector'!$E$34=TRUE,INDEX($E$89:$AF$93,(MATCH('Utility Sector'!$E$35,$E$89:$E$93,0)),3+H$77),0)</f>
        <v>138532021.40277421</v>
      </c>
      <c r="I101" s="199">
        <f>IF('Utility Sector'!$E$34=TRUE,INDEX($E$89:$AF$93,(MATCH('Utility Sector'!$E$35,$E$89:$E$93,0)),3+I$77),0)</f>
        <v>143256725.93997371</v>
      </c>
      <c r="J101" s="199">
        <f>IF('Utility Sector'!$E$34=TRUE,INDEX($E$89:$AF$93,(MATCH('Utility Sector'!$E$35,$E$89:$E$93,0)),3+J$77),0)</f>
        <v>148202544.79661113</v>
      </c>
      <c r="K101" s="199">
        <f>IF('Utility Sector'!$E$34=TRUE,INDEX($E$89:$AF$93,(MATCH('Utility Sector'!$E$35,$E$89:$E$93,0)),3+K$77),0)</f>
        <v>153380906.48988694</v>
      </c>
      <c r="L101" s="199">
        <f>IF('Utility Sector'!$E$34=TRUE,INDEX($E$89:$AF$93,(MATCH('Utility Sector'!$E$35,$E$89:$E$93,0)),3+L$77),0)</f>
        <v>158803841.39486814</v>
      </c>
      <c r="M101" s="199">
        <f>IF('Utility Sector'!$E$34=TRUE,INDEX($E$89:$AF$93,(MATCH('Utility Sector'!$E$35,$E$89:$E$93,0)),3+M$77),0)</f>
        <v>164484013.44117978</v>
      </c>
      <c r="N101" s="199">
        <f>IF('Utility Sector'!$E$34=TRUE,INDEX($E$89:$AF$93,(MATCH('Utility Sector'!$E$35,$E$89:$E$93,0)),3+N$77),0)</f>
        <v>170434753.47448286</v>
      </c>
      <c r="O101" s="199">
        <f>IF('Utility Sector'!$E$34=TRUE,INDEX($E$89:$AF$93,(MATCH('Utility Sector'!$E$35,$E$89:$E$93,0)),3+O$77),0)</f>
        <v>176670094.36997595</v>
      </c>
      <c r="P101" s="199">
        <f>IF('Utility Sector'!$E$34=TRUE,INDEX($E$89:$AF$93,(MATCH('Utility Sector'!$E$35,$E$89:$E$93,0)),3+P$77),0)</f>
        <v>183204807.98972619</v>
      </c>
      <c r="Q101" s="199">
        <f>IF('Utility Sector'!$E$34=TRUE,INDEX($E$89:$AF$93,(MATCH('Utility Sector'!$E$35,$E$89:$E$93,0)),3+Q$77),0)</f>
        <v>190054444.08043423</v>
      </c>
      <c r="R101" s="199">
        <f>IF('Utility Sector'!$E$34=TRUE,INDEX($E$89:$AF$93,(MATCH('Utility Sector'!$E$35,$E$89:$E$93,0)),3+R$77),0)</f>
        <v>0</v>
      </c>
      <c r="S101" s="199">
        <f>IF('Utility Sector'!$E$34=TRUE,INDEX($E$89:$AF$93,(MATCH('Utility Sector'!$E$35,$E$89:$E$93,0)),3+S$77),0)</f>
        <v>0</v>
      </c>
      <c r="T101" s="199">
        <f>IF('Utility Sector'!$E$34=TRUE,INDEX($E$89:$AF$93,(MATCH('Utility Sector'!$E$35,$E$89:$E$93,0)),3+T$77),0)</f>
        <v>0</v>
      </c>
      <c r="U101" s="199">
        <f>IF('Utility Sector'!$E$34=TRUE,INDEX($E$89:$AF$93,(MATCH('Utility Sector'!$E$35,$E$89:$E$93,0)),3+U$77),0)</f>
        <v>0</v>
      </c>
      <c r="V101" s="199">
        <f>IF('Utility Sector'!$E$34=TRUE,INDEX($E$89:$AF$93,(MATCH('Utility Sector'!$E$35,$E$89:$E$93,0)),3+V$77),0)</f>
        <v>0</v>
      </c>
      <c r="W101" s="199">
        <f>IF('Utility Sector'!$E$34=TRUE,INDEX($E$89:$AF$93,(MATCH('Utility Sector'!$E$35,$E$89:$E$93,0)),3+W$77),0)</f>
        <v>0</v>
      </c>
      <c r="X101" s="199">
        <f>IF('Utility Sector'!$E$34=TRUE,INDEX($E$89:$AF$93,(MATCH('Utility Sector'!$E$35,$E$89:$E$93,0)),3+X$77),0)</f>
        <v>0</v>
      </c>
      <c r="Y101" s="199">
        <f>IF('Utility Sector'!$E$34=TRUE,INDEX($E$89:$AF$93,(MATCH('Utility Sector'!$E$35,$E$89:$E$93,0)),3+Y$77),0)</f>
        <v>0</v>
      </c>
      <c r="Z101" s="199">
        <f>IF('Utility Sector'!$E$34=TRUE,INDEX($E$89:$AF$93,(MATCH('Utility Sector'!$E$35,$E$89:$E$93,0)),3+Z$77),0)</f>
        <v>0</v>
      </c>
      <c r="AA101" s="199">
        <f>IF('Utility Sector'!$E$34=TRUE,INDEX($E$89:$AF$93,(MATCH('Utility Sector'!$E$35,$E$89:$E$93,0)),3+AA$77),0)</f>
        <v>0</v>
      </c>
      <c r="AB101" s="199">
        <f>IF('Utility Sector'!$E$34=TRUE,INDEX($E$89:$AF$93,(MATCH('Utility Sector'!$E$35,$E$89:$E$93,0)),3+AB$77),0)</f>
        <v>0</v>
      </c>
      <c r="AC101" s="199">
        <f>IF('Utility Sector'!$E$34=TRUE,INDEX($E$89:$AF$93,(MATCH('Utility Sector'!$E$35,$E$89:$E$93,0)),3+AC$77),0)</f>
        <v>0</v>
      </c>
      <c r="AD101" s="199">
        <f>IF('Utility Sector'!$E$34=TRUE,INDEX($E$89:$AF$93,(MATCH('Utility Sector'!$E$35,$E$89:$E$93,0)),3+AD$77),0)</f>
        <v>0</v>
      </c>
      <c r="AE101" s="199">
        <f>IF('Utility Sector'!$E$34=TRUE,INDEX($E$89:$AF$93,(MATCH('Utility Sector'!$E$35,$E$89:$E$93,0)),3+AE$77),0)</f>
        <v>0</v>
      </c>
      <c r="AF101" s="199">
        <f>IF('Utility Sector'!$E$34=TRUE,INDEX($E$89:$AF$93,(MATCH('Utility Sector'!$E$35,$E$89:$E$93,0)),3+AF$77),0)</f>
        <v>0</v>
      </c>
      <c r="AG101" s="234"/>
    </row>
    <row r="102" spans="3:33" x14ac:dyDescent="0.25">
      <c r="C102" s="4"/>
      <c r="D102" s="5" t="s">
        <v>401</v>
      </c>
      <c r="E102" s="5"/>
      <c r="F102" s="5"/>
      <c r="G102" s="328">
        <f>SUM(G103:G104)</f>
        <v>0</v>
      </c>
      <c r="H102" s="328">
        <f t="shared" ref="H102:AF102" si="23">SUM(H103:H104)</f>
        <v>12521547.396697763</v>
      </c>
      <c r="I102" s="328">
        <f t="shared" ca="1" si="23"/>
        <v>12875777.009032195</v>
      </c>
      <c r="J102" s="328">
        <f t="shared" ca="1" si="23"/>
        <v>13247431.394185206</v>
      </c>
      <c r="K102" s="328">
        <f t="shared" ca="1" si="23"/>
        <v>13637438.295916475</v>
      </c>
      <c r="L102" s="328">
        <f t="shared" ca="1" si="23"/>
        <v>14046775.26747798</v>
      </c>
      <c r="M102" s="328">
        <f t="shared" ca="1" si="23"/>
        <v>14476472.323865503</v>
      </c>
      <c r="N102" s="328">
        <f t="shared" ca="1" si="23"/>
        <v>14927614.734264011</v>
      </c>
      <c r="O102" s="328">
        <f t="shared" ca="1" si="23"/>
        <v>15401345.962060902</v>
      </c>
      <c r="P102" s="328">
        <f t="shared" ca="1" si="23"/>
        <v>15898870.760187844</v>
      </c>
      <c r="Q102" s="328">
        <f t="shared" ca="1" si="23"/>
        <v>16421458.429958723</v>
      </c>
      <c r="R102" s="328">
        <f t="shared" si="23"/>
        <v>0</v>
      </c>
      <c r="S102" s="328">
        <f t="shared" si="23"/>
        <v>0</v>
      </c>
      <c r="T102" s="328">
        <f t="shared" si="23"/>
        <v>0</v>
      </c>
      <c r="U102" s="328">
        <f t="shared" si="23"/>
        <v>0</v>
      </c>
      <c r="V102" s="328">
        <f t="shared" si="23"/>
        <v>0</v>
      </c>
      <c r="W102" s="328">
        <f t="shared" si="23"/>
        <v>0</v>
      </c>
      <c r="X102" s="328">
        <f t="shared" si="23"/>
        <v>0</v>
      </c>
      <c r="Y102" s="328">
        <f t="shared" si="23"/>
        <v>0</v>
      </c>
      <c r="Z102" s="328">
        <f t="shared" si="23"/>
        <v>0</v>
      </c>
      <c r="AA102" s="328">
        <f t="shared" si="23"/>
        <v>0</v>
      </c>
      <c r="AB102" s="328">
        <f t="shared" si="23"/>
        <v>0</v>
      </c>
      <c r="AC102" s="328">
        <f t="shared" si="23"/>
        <v>0</v>
      </c>
      <c r="AD102" s="328">
        <f t="shared" si="23"/>
        <v>0</v>
      </c>
      <c r="AE102" s="328">
        <f t="shared" si="23"/>
        <v>0</v>
      </c>
      <c r="AF102" s="328">
        <f t="shared" si="23"/>
        <v>0</v>
      </c>
      <c r="AG102" s="234"/>
    </row>
    <row r="103" spans="3:33" x14ac:dyDescent="0.25">
      <c r="C103" s="4"/>
      <c r="D103" s="5"/>
      <c r="E103" s="155" t="s">
        <v>585</v>
      </c>
      <c r="F103" s="5"/>
      <c r="G103" s="328">
        <f>G100*'Utility Sector'!$E$36</f>
        <v>0</v>
      </c>
      <c r="H103" s="328">
        <f>H100*'Utility Sector'!$E$36</f>
        <v>746325.57746195409</v>
      </c>
      <c r="I103" s="328">
        <f ca="1">I100*'Utility Sector'!$E$36</f>
        <v>698955.30413442792</v>
      </c>
      <c r="J103" s="328">
        <f ca="1">J100*'Utility Sector'!$E$36</f>
        <v>650215.08647325891</v>
      </c>
      <c r="K103" s="328">
        <f ca="1">K100*'Utility Sector'!$E$36</f>
        <v>600061.24427608354</v>
      </c>
      <c r="L103" s="328">
        <f ca="1">L100*'Utility Sector'!$E$36</f>
        <v>548448.74891418847</v>
      </c>
      <c r="M103" s="328">
        <f ca="1">M100*'Utility Sector'!$E$36</f>
        <v>495331.18136521947</v>
      </c>
      <c r="N103" s="328">
        <f ca="1">N100*'Utility Sector'!$E$36</f>
        <v>440660.68893296708</v>
      </c>
      <c r="O103" s="328">
        <f ca="1">O100*'Utility Sector'!$E$36</f>
        <v>384387.94061294611</v>
      </c>
      <c r="P103" s="328">
        <f ca="1">P100*'Utility Sector'!$E$36</f>
        <v>326462.08106111723</v>
      </c>
      <c r="Q103" s="328">
        <f ca="1">Q100*'Utility Sector'!$E$36</f>
        <v>266830.68312181067</v>
      </c>
      <c r="R103" s="328">
        <f>R100*'Utility Sector'!$E$36</f>
        <v>0</v>
      </c>
      <c r="S103" s="328">
        <f>S100*'Utility Sector'!$E$36</f>
        <v>0</v>
      </c>
      <c r="T103" s="328">
        <f>T100*'Utility Sector'!$E$36</f>
        <v>0</v>
      </c>
      <c r="U103" s="328">
        <f>U100*'Utility Sector'!$E$36</f>
        <v>0</v>
      </c>
      <c r="V103" s="328">
        <f>V100*'Utility Sector'!$E$36</f>
        <v>0</v>
      </c>
      <c r="W103" s="328">
        <f>W100*'Utility Sector'!$E$36</f>
        <v>0</v>
      </c>
      <c r="X103" s="328">
        <f>X100*'Utility Sector'!$E$36</f>
        <v>0</v>
      </c>
      <c r="Y103" s="328">
        <f>Y100*'Utility Sector'!$E$36</f>
        <v>0</v>
      </c>
      <c r="Z103" s="328">
        <f>Z100*'Utility Sector'!$E$36</f>
        <v>0</v>
      </c>
      <c r="AA103" s="328">
        <f>AA100*'Utility Sector'!$E$36</f>
        <v>0</v>
      </c>
      <c r="AB103" s="328">
        <f>AB100*'Utility Sector'!$E$36</f>
        <v>0</v>
      </c>
      <c r="AC103" s="328">
        <f>AC100*'Utility Sector'!$E$36</f>
        <v>0</v>
      </c>
      <c r="AD103" s="328">
        <f>AD100*'Utility Sector'!$E$36</f>
        <v>0</v>
      </c>
      <c r="AE103" s="328">
        <f>AE100*'Utility Sector'!$E$36</f>
        <v>0</v>
      </c>
      <c r="AF103" s="328">
        <f>AF100*'Utility Sector'!$E$36</f>
        <v>0</v>
      </c>
      <c r="AG103" s="234"/>
    </row>
    <row r="104" spans="3:33" x14ac:dyDescent="0.25">
      <c r="C104" s="4"/>
      <c r="D104" s="5"/>
      <c r="E104" s="155" t="s">
        <v>586</v>
      </c>
      <c r="F104" s="5"/>
      <c r="G104" s="328">
        <f>G101*'Utility Sector'!$E$36</f>
        <v>0</v>
      </c>
      <c r="H104" s="328">
        <f>H101*'Utility Sector'!$E$36</f>
        <v>11775221.819235809</v>
      </c>
      <c r="I104" s="328">
        <f>I101*'Utility Sector'!$E$36</f>
        <v>12176821.704897767</v>
      </c>
      <c r="J104" s="328">
        <f>J101*'Utility Sector'!$E$36</f>
        <v>12597216.307711948</v>
      </c>
      <c r="K104" s="328">
        <f>K101*'Utility Sector'!$E$36</f>
        <v>13037377.051640391</v>
      </c>
      <c r="L104" s="328">
        <f>L101*'Utility Sector'!$E$36</f>
        <v>13498326.518563792</v>
      </c>
      <c r="M104" s="328">
        <f>M101*'Utility Sector'!$E$36</f>
        <v>13981141.142500283</v>
      </c>
      <c r="N104" s="328">
        <f>N101*'Utility Sector'!$E$36</f>
        <v>14486954.045331044</v>
      </c>
      <c r="O104" s="328">
        <f>O101*'Utility Sector'!$E$36</f>
        <v>15016958.021447957</v>
      </c>
      <c r="P104" s="328">
        <f>P101*'Utility Sector'!$E$36</f>
        <v>15572408.679126726</v>
      </c>
      <c r="Q104" s="328">
        <f>Q101*'Utility Sector'!$E$36</f>
        <v>16154627.746836912</v>
      </c>
      <c r="R104" s="328">
        <f>R101*'Utility Sector'!$E$36</f>
        <v>0</v>
      </c>
      <c r="S104" s="328">
        <f>S101*'Utility Sector'!$E$36</f>
        <v>0</v>
      </c>
      <c r="T104" s="328">
        <f>T101*'Utility Sector'!$E$36</f>
        <v>0</v>
      </c>
      <c r="U104" s="328">
        <f>U101*'Utility Sector'!$E$36</f>
        <v>0</v>
      </c>
      <c r="V104" s="328">
        <f>V101*'Utility Sector'!$E$36</f>
        <v>0</v>
      </c>
      <c r="W104" s="328">
        <f>W101*'Utility Sector'!$E$36</f>
        <v>0</v>
      </c>
      <c r="X104" s="328">
        <f>X101*'Utility Sector'!$E$36</f>
        <v>0</v>
      </c>
      <c r="Y104" s="328">
        <f>Y101*'Utility Sector'!$E$36</f>
        <v>0</v>
      </c>
      <c r="Z104" s="328">
        <f>Z101*'Utility Sector'!$E$36</f>
        <v>0</v>
      </c>
      <c r="AA104" s="328">
        <f>AA101*'Utility Sector'!$E$36</f>
        <v>0</v>
      </c>
      <c r="AB104" s="328">
        <f>AB101*'Utility Sector'!$E$36</f>
        <v>0</v>
      </c>
      <c r="AC104" s="328">
        <f>AC101*'Utility Sector'!$E$36</f>
        <v>0</v>
      </c>
      <c r="AD104" s="328">
        <f>AD101*'Utility Sector'!$E$36</f>
        <v>0</v>
      </c>
      <c r="AE104" s="328">
        <f>AE101*'Utility Sector'!$E$36</f>
        <v>0</v>
      </c>
      <c r="AF104" s="328">
        <f>AF101*'Utility Sector'!$E$36</f>
        <v>0</v>
      </c>
      <c r="AG104" s="234"/>
    </row>
    <row r="105" spans="3:33" x14ac:dyDescent="0.25">
      <c r="C105" s="10" t="s">
        <v>568</v>
      </c>
      <c r="D105" s="11"/>
      <c r="E105" s="11"/>
      <c r="F105" s="11"/>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684"/>
    </row>
    <row r="106" spans="3:33" x14ac:dyDescent="0.25">
      <c r="C106" s="10"/>
      <c r="D106" s="11" t="s">
        <v>572</v>
      </c>
      <c r="E106" s="11"/>
      <c r="F106" s="11"/>
      <c r="G106" s="112">
        <f>IF('Utility Sector'!$E$39=TRUE, (INDEX($E$80:$AF$84,(MATCH('Utility Sector'!$E$35,$E$80:$E$84)),3+G$77))*'Utility Sector'!$E$41,0)</f>
        <v>0</v>
      </c>
      <c r="H106" s="112">
        <f>IF('Utility Sector'!$E$39=TRUE, (INDEX($E$80:$AF$84,(MATCH('Utility Sector'!$E$35,$E$80:$E$84)),3+H$77))*'Utility Sector'!$E$41,0)</f>
        <v>2691077.2911317106</v>
      </c>
      <c r="I106" s="112">
        <f ca="1">IF('Utility Sector'!$E$39=TRUE, (INDEX($E$80:$AF$84,(MATCH('Utility Sector'!$E$35,$E$80:$E$84)),3+I$77))*'Utility Sector'!$E$41,0)</f>
        <v>2690256.6849052091</v>
      </c>
      <c r="J106" s="112">
        <f ca="1">IF('Utility Sector'!$E$39=TRUE, (INDEX($E$80:$AF$84,(MATCH('Utility Sector'!$E$35,$E$80:$E$84)),3+J$77))*'Utility Sector'!$E$41,0)</f>
        <v>2689498.5806029574</v>
      </c>
      <c r="K106" s="112">
        <f ca="1">IF('Utility Sector'!$E$39=TRUE, (INDEX($E$80:$AF$84,(MATCH('Utility Sector'!$E$35,$E$80:$E$84)),3+K$77))*'Utility Sector'!$E$41,0)</f>
        <v>2688802.9799877042</v>
      </c>
      <c r="L106" s="112">
        <f ca="1">IF('Utility Sector'!$E$39=TRUE, (INDEX($E$80:$AF$84,(MATCH('Utility Sector'!$E$35,$E$80:$E$84)),3+L$77))*'Utility Sector'!$E$41,0)</f>
        <v>2688169.8862808077</v>
      </c>
      <c r="M106" s="112">
        <f ca="1">IF('Utility Sector'!$E$39=TRUE, (INDEX($E$80:$AF$84,(MATCH('Utility Sector'!$E$35,$E$80:$E$84)),3+M$77))*'Utility Sector'!$E$41,0)</f>
        <v>2687599.3041627668</v>
      </c>
      <c r="N106" s="112">
        <f ca="1">IF('Utility Sector'!$E$39=TRUE, (INDEX($E$80:$AF$84,(MATCH('Utility Sector'!$E$35,$E$80:$E$84)),3+N$77))*'Utility Sector'!$E$41,0)</f>
        <v>2687091.2397737796</v>
      </c>
      <c r="O106" s="112">
        <f ca="1">IF('Utility Sector'!$E$39=TRUE, (INDEX($E$80:$AF$84,(MATCH('Utility Sector'!$E$35,$E$80:$E$84)),3+O$77))*'Utility Sector'!$E$41,0)</f>
        <v>2686645.700714347</v>
      </c>
      <c r="P106" s="112">
        <f ca="1">IF('Utility Sector'!$E$39=TRUE, (INDEX($E$80:$AF$84,(MATCH('Utility Sector'!$E$35,$E$80:$E$84)),3+P$77))*'Utility Sector'!$E$41,0)</f>
        <v>2686262.6960458998</v>
      </c>
      <c r="Q106" s="112">
        <f ca="1">IF('Utility Sector'!$E$39=TRUE, (INDEX($E$80:$AF$84,(MATCH('Utility Sector'!$E$35,$E$80:$E$84)),3+Q$77))*'Utility Sector'!$E$41,0)</f>
        <v>2685942.2362914644</v>
      </c>
      <c r="R106" s="112">
        <f>IF('Utility Sector'!$E$39=TRUE, (INDEX($E$80:$AF$84,(MATCH('Utility Sector'!$E$35,$E$80:$E$84)),3+R$77))*'Utility Sector'!$E$41,0)</f>
        <v>0</v>
      </c>
      <c r="S106" s="112">
        <f>IF('Utility Sector'!$E$39=TRUE, (INDEX($E$80:$AF$84,(MATCH('Utility Sector'!$E$35,$E$80:$E$84)),3+S$77))*'Utility Sector'!$E$41,0)</f>
        <v>0</v>
      </c>
      <c r="T106" s="112">
        <f>IF('Utility Sector'!$E$39=TRUE, (INDEX($E$80:$AF$84,(MATCH('Utility Sector'!$E$35,$E$80:$E$84)),3+T$77))*'Utility Sector'!$E$41,0)</f>
        <v>0</v>
      </c>
      <c r="U106" s="112">
        <f>IF('Utility Sector'!$E$39=TRUE, (INDEX($E$80:$AF$84,(MATCH('Utility Sector'!$E$35,$E$80:$E$84)),3+U$77))*'Utility Sector'!$E$41,0)</f>
        <v>0</v>
      </c>
      <c r="V106" s="112">
        <f>IF('Utility Sector'!$E$39=TRUE, (INDEX($E$80:$AF$84,(MATCH('Utility Sector'!$E$35,$E$80:$E$84)),3+V$77))*'Utility Sector'!$E$41,0)</f>
        <v>0</v>
      </c>
      <c r="W106" s="112">
        <f>IF('Utility Sector'!$E$39=TRUE, (INDEX($E$80:$AF$84,(MATCH('Utility Sector'!$E$35,$E$80:$E$84)),3+W$77))*'Utility Sector'!$E$41,0)</f>
        <v>0</v>
      </c>
      <c r="X106" s="112">
        <f>IF('Utility Sector'!$E$39=TRUE, (INDEX($E$80:$AF$84,(MATCH('Utility Sector'!$E$35,$E$80:$E$84)),3+X$77))*'Utility Sector'!$E$41,0)</f>
        <v>0</v>
      </c>
      <c r="Y106" s="112">
        <f>IF('Utility Sector'!$E$39=TRUE, (INDEX($E$80:$AF$84,(MATCH('Utility Sector'!$E$35,$E$80:$E$84)),3+Y$77))*'Utility Sector'!$E$41,0)</f>
        <v>0</v>
      </c>
      <c r="Z106" s="112">
        <f>IF('Utility Sector'!$E$39=TRUE, (INDEX($E$80:$AF$84,(MATCH('Utility Sector'!$E$35,$E$80:$E$84)),3+Z$77))*'Utility Sector'!$E$41,0)</f>
        <v>0</v>
      </c>
      <c r="AA106" s="112">
        <f>IF('Utility Sector'!$E$39=TRUE, (INDEX($E$80:$AF$84,(MATCH('Utility Sector'!$E$35,$E$80:$E$84)),3+AA$77))*'Utility Sector'!$E$41,0)</f>
        <v>0</v>
      </c>
      <c r="AB106" s="112">
        <f>IF('Utility Sector'!$E$39=TRUE, (INDEX($E$80:$AF$84,(MATCH('Utility Sector'!$E$35,$E$80:$E$84)),3+AB$77))*'Utility Sector'!$E$41,0)</f>
        <v>0</v>
      </c>
      <c r="AC106" s="112">
        <f>IF('Utility Sector'!$E$39=TRUE, (INDEX($E$80:$AF$84,(MATCH('Utility Sector'!$E$35,$E$80:$E$84)),3+AC$77))*'Utility Sector'!$E$41,0)</f>
        <v>0</v>
      </c>
      <c r="AD106" s="112">
        <f>IF('Utility Sector'!$E$39=TRUE, (INDEX($E$80:$AF$84,(MATCH('Utility Sector'!$E$35,$E$80:$E$84)),3+AD$77))*'Utility Sector'!$E$41,0)</f>
        <v>0</v>
      </c>
      <c r="AE106" s="112">
        <f>IF('Utility Sector'!$E$39=TRUE, (INDEX($E$80:$AF$84,(MATCH('Utility Sector'!$E$35,$E$80:$E$84)),3+AE$77))*'Utility Sector'!$E$41,0)</f>
        <v>0</v>
      </c>
      <c r="AF106" s="112">
        <f>IF('Utility Sector'!$E$39=TRUE, (INDEX($E$80:$AF$84,(MATCH('Utility Sector'!$E$35,$E$80:$E$84)),3+AF$77))*'Utility Sector'!$E$41,0)</f>
        <v>0</v>
      </c>
      <c r="AG106" s="684"/>
    </row>
    <row r="107" spans="3:33" x14ac:dyDescent="0.25">
      <c r="C107" s="10"/>
      <c r="D107" s="11" t="s">
        <v>573</v>
      </c>
      <c r="E107" s="11"/>
      <c r="F107" s="11"/>
      <c r="G107" s="112">
        <f>IF('Utility Sector'!$E$39=TRUE, (INDEX($E$89:$AF$93,(MATCH('Utility Sector'!$E$35,$E$89:$E$93)),3+G$77))*'Utility Sector'!$E$41,0)</f>
        <v>0</v>
      </c>
      <c r="H107" s="112">
        <f>IF('Utility Sector'!$E$39=TRUE, (INDEX($E$89:$AF$93,(MATCH('Utility Sector'!$E$35,$E$89:$E$93)),3+H$77))*'Utility Sector'!$E$41,0)</f>
        <v>15773254.840277422</v>
      </c>
      <c r="I107" s="112">
        <f>IF('Utility Sector'!$E$39=TRUE, (INDEX($E$89:$AF$93,(MATCH('Utility Sector'!$E$35,$E$89:$E$93)),3+I$77))*'Utility Sector'!$E$41,0)</f>
        <v>16305285.212897373</v>
      </c>
      <c r="J107" s="112">
        <f>IF('Utility Sector'!$E$39=TRUE, (INDEX($E$89:$AF$93,(MATCH('Utility Sector'!$E$35,$E$89:$E$93)),3+J$77))*'Utility Sector'!$E$41,0)</f>
        <v>16861293.877170812</v>
      </c>
      <c r="K107" s="112">
        <f>IF('Utility Sector'!$E$39=TRUE, (INDEX($E$89:$AF$93,(MATCH('Utility Sector'!$E$35,$E$89:$E$93)),3+K$77))*'Utility Sector'!$E$41,0)</f>
        <v>17442482.850143593</v>
      </c>
      <c r="L107" s="112">
        <f>IF('Utility Sector'!$E$39=TRUE, (INDEX($E$89:$AF$93,(MATCH('Utility Sector'!$E$35,$E$89:$E$93)),3+L$77))*'Utility Sector'!$E$41,0)</f>
        <v>18050116.231392849</v>
      </c>
      <c r="M107" s="112">
        <f>IF('Utility Sector'!$E$39=TRUE, (INDEX($E$89:$AF$93,(MATCH('Utility Sector'!$E$35,$E$89:$E$93)),3+M$77))*'Utility Sector'!$E$41,0)</f>
        <v>18685523.43421597</v>
      </c>
      <c r="N107" s="112">
        <f>IF('Utility Sector'!$E$39=TRUE, (INDEX($E$89:$AF$93,(MATCH('Utility Sector'!$E$35,$E$89:$E$93)),3+N$77))*'Utility Sector'!$E$41,0)</f>
        <v>19350102.585316759</v>
      </c>
      <c r="O107" s="112">
        <f>IF('Utility Sector'!$E$39=TRUE, (INDEX($E$89:$AF$93,(MATCH('Utility Sector'!$E$35,$E$89:$E$93)),3+O$77))*'Utility Sector'!$E$41,0)</f>
        <v>20045324.101779569</v>
      </c>
      <c r="P107" s="112">
        <f>IF('Utility Sector'!$E$39=TRUE, (INDEX($E$89:$AF$93,(MATCH('Utility Sector'!$E$35,$E$89:$E$93)),3+P$77))*'Utility Sector'!$E$41,0)</f>
        <v>20772734.454581138</v>
      </c>
      <c r="Q107" s="112">
        <f>IF('Utility Sector'!$E$39=TRUE, (INDEX($E$89:$AF$93,(MATCH('Utility Sector'!$E$35,$E$89:$E$93)),3+Q$77))*'Utility Sector'!$E$41,0)</f>
        <v>21533960.128372177</v>
      </c>
      <c r="R107" s="112">
        <f>IF('Utility Sector'!$E$39=TRUE, (INDEX($E$89:$AF$93,(MATCH('Utility Sector'!$E$35,$E$89:$E$93)),3+R$77))*'Utility Sector'!$E$41,0)</f>
        <v>0</v>
      </c>
      <c r="S107" s="112">
        <f>IF('Utility Sector'!$E$39=TRUE, (INDEX($E$89:$AF$93,(MATCH('Utility Sector'!$E$35,$E$89:$E$93)),3+S$77))*'Utility Sector'!$E$41,0)</f>
        <v>0</v>
      </c>
      <c r="T107" s="112">
        <f>IF('Utility Sector'!$E$39=TRUE, (INDEX($E$89:$AF$93,(MATCH('Utility Sector'!$E$35,$E$89:$E$93)),3+T$77))*'Utility Sector'!$E$41,0)</f>
        <v>0</v>
      </c>
      <c r="U107" s="112">
        <f>IF('Utility Sector'!$E$39=TRUE, (INDEX($E$89:$AF$93,(MATCH('Utility Sector'!$E$35,$E$89:$E$93)),3+U$77))*'Utility Sector'!$E$41,0)</f>
        <v>0</v>
      </c>
      <c r="V107" s="112">
        <f>IF('Utility Sector'!$E$39=TRUE, (INDEX($E$89:$AF$93,(MATCH('Utility Sector'!$E$35,$E$89:$E$93)),3+V$77))*'Utility Sector'!$E$41,0)</f>
        <v>0</v>
      </c>
      <c r="W107" s="112">
        <f>IF('Utility Sector'!$E$39=TRUE, (INDEX($E$89:$AF$93,(MATCH('Utility Sector'!$E$35,$E$89:$E$93)),3+W$77))*'Utility Sector'!$E$41,0)</f>
        <v>0</v>
      </c>
      <c r="X107" s="112">
        <f>IF('Utility Sector'!$E$39=TRUE, (INDEX($E$89:$AF$93,(MATCH('Utility Sector'!$E$35,$E$89:$E$93)),3+X$77))*'Utility Sector'!$E$41,0)</f>
        <v>0</v>
      </c>
      <c r="Y107" s="112">
        <f>IF('Utility Sector'!$E$39=TRUE, (INDEX($E$89:$AF$93,(MATCH('Utility Sector'!$E$35,$E$89:$E$93)),3+Y$77))*'Utility Sector'!$E$41,0)</f>
        <v>0</v>
      </c>
      <c r="Z107" s="112">
        <f>IF('Utility Sector'!$E$39=TRUE, (INDEX($E$89:$AF$93,(MATCH('Utility Sector'!$E$35,$E$89:$E$93)),3+Z$77))*'Utility Sector'!$E$41,0)</f>
        <v>0</v>
      </c>
      <c r="AA107" s="112">
        <f>IF('Utility Sector'!$E$39=TRUE, (INDEX($E$89:$AF$93,(MATCH('Utility Sector'!$E$35,$E$89:$E$93)),3+AA$77))*'Utility Sector'!$E$41,0)</f>
        <v>0</v>
      </c>
      <c r="AB107" s="112">
        <f>IF('Utility Sector'!$E$39=TRUE, (INDEX($E$89:$AF$93,(MATCH('Utility Sector'!$E$35,$E$89:$E$93)),3+AB$77))*'Utility Sector'!$E$41,0)</f>
        <v>0</v>
      </c>
      <c r="AC107" s="112">
        <f>IF('Utility Sector'!$E$39=TRUE, (INDEX($E$89:$AF$93,(MATCH('Utility Sector'!$E$35,$E$89:$E$93)),3+AC$77))*'Utility Sector'!$E$41,0)</f>
        <v>0</v>
      </c>
      <c r="AD107" s="112">
        <f>IF('Utility Sector'!$E$39=TRUE, (INDEX($E$89:$AF$93,(MATCH('Utility Sector'!$E$35,$E$89:$E$93)),3+AD$77))*'Utility Sector'!$E$41,0)</f>
        <v>0</v>
      </c>
      <c r="AE107" s="112">
        <f>IF('Utility Sector'!$E$39=TRUE, (INDEX($E$89:$AF$93,(MATCH('Utility Sector'!$E$35,$E$89:$E$93)),3+AE$77))*'Utility Sector'!$E$41,0)</f>
        <v>0</v>
      </c>
      <c r="AF107" s="112">
        <f>IF('Utility Sector'!$E$39=TRUE, (INDEX($E$89:$AF$93,(MATCH('Utility Sector'!$E$35,$E$89:$E$93)),3+AF$77))*'Utility Sector'!$E$41,0)</f>
        <v>0</v>
      </c>
      <c r="AG107" s="684"/>
    </row>
    <row r="108" spans="3:33" x14ac:dyDescent="0.25">
      <c r="C108" s="4" t="s">
        <v>588</v>
      </c>
      <c r="D108" s="5"/>
      <c r="E108" s="5"/>
      <c r="F108" s="5"/>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684"/>
    </row>
    <row r="109" spans="3:33" x14ac:dyDescent="0.25">
      <c r="C109" s="4"/>
      <c r="D109" s="5" t="s">
        <v>589</v>
      </c>
      <c r="E109" s="5"/>
      <c r="F109" s="5"/>
      <c r="G109" s="694">
        <f>IF('Utility Sector'!$E$42=TRUE,IF('Utility Sector'!H45&lt;=('Customer Calc'!G63/1000),1,'Utility Sector'!$E$44),1)</f>
        <v>1</v>
      </c>
      <c r="H109" s="694">
        <f>IF('Utility Sector'!$E$42=TRUE,IF('Utility Sector'!I45&lt;=('Customer Calc'!H63/1000),1,'Utility Sector'!$E$44),1)</f>
        <v>1</v>
      </c>
      <c r="I109" s="694">
        <f>IF('Utility Sector'!$E$42=TRUE,IF('Utility Sector'!J45&lt;=('Customer Calc'!I63/1000),1,'Utility Sector'!$E$44),1)</f>
        <v>1</v>
      </c>
      <c r="J109" s="694">
        <f>IF('Utility Sector'!$E$42=TRUE,IF('Utility Sector'!K45&lt;=('Customer Calc'!J63/1000),1,'Utility Sector'!$E$44),1)</f>
        <v>1</v>
      </c>
      <c r="K109" s="694">
        <f>IF('Utility Sector'!$E$42=TRUE,IF('Utility Sector'!L45&lt;=('Customer Calc'!K63/1000),1,'Utility Sector'!$E$44),1)</f>
        <v>1</v>
      </c>
      <c r="L109" s="694">
        <f>IF('Utility Sector'!$E$42=TRUE,IF('Utility Sector'!M45&lt;=('Customer Calc'!L63/1000),1,'Utility Sector'!$E$44),1)</f>
        <v>1</v>
      </c>
      <c r="M109" s="694">
        <f>IF('Utility Sector'!$E$42=TRUE,IF('Utility Sector'!N45&lt;=('Customer Calc'!M63/1000),1,'Utility Sector'!$E$44),1)</f>
        <v>1</v>
      </c>
      <c r="N109" s="694">
        <f>IF('Utility Sector'!$E$42=TRUE,IF('Utility Sector'!O45&lt;=('Customer Calc'!N63/1000),1,'Utility Sector'!$E$44),1)</f>
        <v>1</v>
      </c>
      <c r="O109" s="694">
        <f>IF('Utility Sector'!$E$42=TRUE,IF('Utility Sector'!P45&lt;=('Customer Calc'!O63/1000),1,'Utility Sector'!$E$44),1)</f>
        <v>1</v>
      </c>
      <c r="P109" s="694">
        <f>IF('Utility Sector'!$E$42=TRUE,IF('Utility Sector'!Q45&lt;=('Customer Calc'!P63/1000),1,'Utility Sector'!$E$44),1)</f>
        <v>1</v>
      </c>
      <c r="Q109" s="694">
        <f>IF('Utility Sector'!$E$42=TRUE,IF('Utility Sector'!R45&lt;=('Customer Calc'!Q63/1000),1,'Utility Sector'!$E$44),1)</f>
        <v>1</v>
      </c>
      <c r="R109" s="694">
        <f>IF('Utility Sector'!$E$42=TRUE,IF('Utility Sector'!S45&lt;=('Customer Calc'!R63/1000),1,'Utility Sector'!$E$44),1)</f>
        <v>1</v>
      </c>
      <c r="S109" s="694">
        <f>IF('Utility Sector'!$E$42=TRUE,IF('Utility Sector'!T45&lt;=('Customer Calc'!S63/1000),1,'Utility Sector'!$E$44),1)</f>
        <v>1</v>
      </c>
      <c r="T109" s="694">
        <f>IF('Utility Sector'!$E$42=TRUE,IF('Utility Sector'!U45&lt;=('Customer Calc'!T63/1000),1,'Utility Sector'!$E$44),1)</f>
        <v>1</v>
      </c>
      <c r="U109" s="694">
        <f>IF('Utility Sector'!$E$42=TRUE,IF('Utility Sector'!V45&lt;=('Customer Calc'!U63/1000),1,'Utility Sector'!$E$44),1)</f>
        <v>1</v>
      </c>
      <c r="V109" s="694">
        <f>IF('Utility Sector'!$E$42=TRUE,IF('Utility Sector'!W45&lt;=('Customer Calc'!V63/1000),1,'Utility Sector'!$E$44),1)</f>
        <v>1</v>
      </c>
      <c r="W109" s="694">
        <f>IF('Utility Sector'!$E$42=TRUE,IF('Utility Sector'!X45&lt;=('Customer Calc'!W63/1000),1,'Utility Sector'!$E$44),1)</f>
        <v>1</v>
      </c>
      <c r="X109" s="694">
        <f>IF('Utility Sector'!$E$42=TRUE,IF('Utility Sector'!Y45&lt;=('Customer Calc'!X63/1000),1,'Utility Sector'!$E$44),1)</f>
        <v>1</v>
      </c>
      <c r="Y109" s="694">
        <f>IF('Utility Sector'!$E$42=TRUE,IF('Utility Sector'!Z45&lt;=('Customer Calc'!Y63/1000),1,'Utility Sector'!$E$44),1)</f>
        <v>1</v>
      </c>
      <c r="Z109" s="694">
        <f>IF('Utility Sector'!$E$42=TRUE,IF('Utility Sector'!AA45&lt;=('Customer Calc'!Z63/1000),1,'Utility Sector'!$E$44),1)</f>
        <v>1</v>
      </c>
      <c r="AA109" s="694">
        <f>IF('Utility Sector'!$E$42=TRUE,IF('Utility Sector'!AB45&lt;=('Customer Calc'!AA63/1000),1,'Utility Sector'!$E$44),1)</f>
        <v>1</v>
      </c>
      <c r="AB109" s="694">
        <f>IF('Utility Sector'!$E$42=TRUE,IF('Utility Sector'!AC45&lt;=('Customer Calc'!AB63/1000),1,'Utility Sector'!$E$44),1)</f>
        <v>1</v>
      </c>
      <c r="AC109" s="694">
        <f>IF('Utility Sector'!$E$42=TRUE,IF('Utility Sector'!AD45&lt;=('Customer Calc'!AC63/1000),1,'Utility Sector'!$E$44),1)</f>
        <v>1</v>
      </c>
      <c r="AD109" s="694">
        <f>IF('Utility Sector'!$E$42=TRUE,IF('Utility Sector'!AE45&lt;=('Customer Calc'!AD63/1000),1,'Utility Sector'!$E$44),1)</f>
        <v>1</v>
      </c>
      <c r="AE109" s="694">
        <f>IF('Utility Sector'!$E$42=TRUE,IF('Utility Sector'!AF45&lt;=('Customer Calc'!AE63/1000),1,'Utility Sector'!$E$44),1)</f>
        <v>1</v>
      </c>
      <c r="AF109" s="694">
        <f>IF('Utility Sector'!$E$42=TRUE,IF('Utility Sector'!AG45&lt;=('Customer Calc'!AF63/1000),1,'Utility Sector'!$E$44),1)</f>
        <v>1</v>
      </c>
      <c r="AG109" s="684"/>
    </row>
    <row r="110" spans="3:33" x14ac:dyDescent="0.25">
      <c r="C110" s="4"/>
      <c r="D110" s="5" t="s">
        <v>590</v>
      </c>
      <c r="E110" s="5"/>
      <c r="F110" s="5"/>
      <c r="G110" s="694">
        <f>IF('Utility Sector'!$E$42=TRUE,IF('Utility Sector'!H46&lt;=('Customer Calc'!AM63/1000),1,'Utility Sector'!$E$44),1)</f>
        <v>1</v>
      </c>
      <c r="H110" s="694">
        <f>IF('Utility Sector'!$E$42=TRUE,IF('Utility Sector'!I46&lt;=('Customer Calc'!AN63/1000),1,'Utility Sector'!$E$44),1)</f>
        <v>1</v>
      </c>
      <c r="I110" s="694">
        <f>IF('Utility Sector'!$E$42=TRUE,IF('Utility Sector'!J46&lt;=('Customer Calc'!AO63/1000),1,'Utility Sector'!$E$44),1)</f>
        <v>1</v>
      </c>
      <c r="J110" s="694">
        <f>IF('Utility Sector'!$E$42=TRUE,IF('Utility Sector'!K46&lt;=('Customer Calc'!AP63/1000),1,'Utility Sector'!$E$44),1)</f>
        <v>1</v>
      </c>
      <c r="K110" s="694">
        <f>IF('Utility Sector'!$E$42=TRUE,IF('Utility Sector'!L46&lt;=('Customer Calc'!AQ63/1000),1,'Utility Sector'!$E$44),1)</f>
        <v>1</v>
      </c>
      <c r="L110" s="694">
        <f>IF('Utility Sector'!$E$42=TRUE,IF('Utility Sector'!M46&lt;=('Customer Calc'!AR63/1000),1,'Utility Sector'!$E$44),1)</f>
        <v>1</v>
      </c>
      <c r="M110" s="694">
        <f>IF('Utility Sector'!$E$42=TRUE,IF('Utility Sector'!N46&lt;=('Customer Calc'!AS63/1000),1,'Utility Sector'!$E$44),1)</f>
        <v>1</v>
      </c>
      <c r="N110" s="694">
        <f>IF('Utility Sector'!$E$42=TRUE,IF('Utility Sector'!O46&lt;=('Customer Calc'!AT63/1000),1,'Utility Sector'!$E$44),1)</f>
        <v>1</v>
      </c>
      <c r="O110" s="694">
        <f>IF('Utility Sector'!$E$42=TRUE,IF('Utility Sector'!P46&lt;=('Customer Calc'!AU63/1000),1,'Utility Sector'!$E$44),1)</f>
        <v>1</v>
      </c>
      <c r="P110" s="694">
        <f>IF('Utility Sector'!$E$42=TRUE,IF('Utility Sector'!Q46&lt;=('Customer Calc'!AV63/1000),1,'Utility Sector'!$E$44),1)</f>
        <v>1</v>
      </c>
      <c r="Q110" s="694">
        <f>IF('Utility Sector'!$E$42=TRUE,IF('Utility Sector'!R46&lt;=('Customer Calc'!AW63/1000),1,'Utility Sector'!$E$44),1)</f>
        <v>1</v>
      </c>
      <c r="R110" s="694">
        <f>IF('Utility Sector'!$E$42=TRUE,IF('Utility Sector'!S46&lt;=('Customer Calc'!AX63/1000),1,'Utility Sector'!$E$44),1)</f>
        <v>1</v>
      </c>
      <c r="S110" s="694">
        <f>IF('Utility Sector'!$E$42=TRUE,IF('Utility Sector'!T46&lt;=('Customer Calc'!AY63/1000),1,'Utility Sector'!$E$44),1)</f>
        <v>1</v>
      </c>
      <c r="T110" s="694">
        <f>IF('Utility Sector'!$E$42=TRUE,IF('Utility Sector'!U46&lt;=('Customer Calc'!AZ63/1000),1,'Utility Sector'!$E$44),1)</f>
        <v>1</v>
      </c>
      <c r="U110" s="694">
        <f>IF('Utility Sector'!$E$42=TRUE,IF('Utility Sector'!V46&lt;=('Customer Calc'!BA63/1000),1,'Utility Sector'!$E$44),1)</f>
        <v>1</v>
      </c>
      <c r="V110" s="694">
        <f>IF('Utility Sector'!$E$42=TRUE,IF('Utility Sector'!W46&lt;=('Customer Calc'!BB63/1000),1,'Utility Sector'!$E$44),1)</f>
        <v>1</v>
      </c>
      <c r="W110" s="694">
        <f>IF('Utility Sector'!$E$42=TRUE,IF('Utility Sector'!X46&lt;=('Customer Calc'!BC63/1000),1,'Utility Sector'!$E$44),1)</f>
        <v>1</v>
      </c>
      <c r="X110" s="694">
        <f>IF('Utility Sector'!$E$42=TRUE,IF('Utility Sector'!Y46&lt;=('Customer Calc'!BD63/1000),1,'Utility Sector'!$E$44),1)</f>
        <v>1</v>
      </c>
      <c r="Y110" s="694">
        <f>IF('Utility Sector'!$E$42=TRUE,IF('Utility Sector'!Z46&lt;=('Customer Calc'!BE63/1000),1,'Utility Sector'!$E$44),1)</f>
        <v>1</v>
      </c>
      <c r="Z110" s="694">
        <f>IF('Utility Sector'!$E$42=TRUE,IF('Utility Sector'!AA46&lt;=('Customer Calc'!BF63/1000),1,'Utility Sector'!$E$44),1)</f>
        <v>1</v>
      </c>
      <c r="AA110" s="694">
        <f>IF('Utility Sector'!$E$42=TRUE,IF('Utility Sector'!AB46&lt;=('Customer Calc'!BG63/1000),1,'Utility Sector'!$E$44),1)</f>
        <v>1</v>
      </c>
      <c r="AB110" s="694">
        <f>IF('Utility Sector'!$E$42=TRUE,IF('Utility Sector'!AC46&lt;=('Customer Calc'!BH63/1000),1,'Utility Sector'!$E$44),1)</f>
        <v>1</v>
      </c>
      <c r="AC110" s="694">
        <f>IF('Utility Sector'!$E$42=TRUE,IF('Utility Sector'!AD46&lt;=('Customer Calc'!BI63/1000),1,'Utility Sector'!$E$44),1)</f>
        <v>1</v>
      </c>
      <c r="AD110" s="694">
        <f>IF('Utility Sector'!$E$42=TRUE,IF('Utility Sector'!AE46&lt;=('Customer Calc'!BJ63/1000),1,'Utility Sector'!$E$44),1)</f>
        <v>1</v>
      </c>
      <c r="AE110" s="694">
        <f>IF('Utility Sector'!$E$42=TRUE,IF('Utility Sector'!AF46&lt;=('Customer Calc'!BK63/1000),1,'Utility Sector'!$E$44),1)</f>
        <v>1</v>
      </c>
      <c r="AF110" s="694">
        <f>IF('Utility Sector'!$E$42=TRUE,IF('Utility Sector'!AG46&lt;=('Customer Calc'!BL63/1000),1,'Utility Sector'!$E$44),1)</f>
        <v>1</v>
      </c>
      <c r="AG110" s="684"/>
    </row>
    <row r="111" spans="3:33" x14ac:dyDescent="0.25">
      <c r="C111" s="10" t="s">
        <v>401</v>
      </c>
      <c r="D111" s="11"/>
      <c r="E111" s="11"/>
      <c r="F111" s="11"/>
      <c r="G111" s="695">
        <f>SUM(G112:G113)</f>
        <v>0</v>
      </c>
      <c r="H111" s="695">
        <f t="shared" ref="H111:AF111" si="24">SUM(H112:H113)</f>
        <v>12521547.396697763</v>
      </c>
      <c r="I111" s="695">
        <f t="shared" ca="1" si="24"/>
        <v>12875777.009032195</v>
      </c>
      <c r="J111" s="695">
        <f t="shared" ca="1" si="24"/>
        <v>13247431.394185206</v>
      </c>
      <c r="K111" s="695">
        <f t="shared" ca="1" si="24"/>
        <v>13637438.295916475</v>
      </c>
      <c r="L111" s="695">
        <f t="shared" ca="1" si="24"/>
        <v>14046775.26747798</v>
      </c>
      <c r="M111" s="695">
        <f t="shared" ca="1" si="24"/>
        <v>14476472.323865503</v>
      </c>
      <c r="N111" s="695">
        <f t="shared" ca="1" si="24"/>
        <v>14927614.734264011</v>
      </c>
      <c r="O111" s="695">
        <f t="shared" ca="1" si="24"/>
        <v>15401345.962060902</v>
      </c>
      <c r="P111" s="695">
        <f t="shared" ca="1" si="24"/>
        <v>15898870.760187844</v>
      </c>
      <c r="Q111" s="695">
        <f t="shared" ca="1" si="24"/>
        <v>16421458.429958723</v>
      </c>
      <c r="R111" s="695">
        <f t="shared" si="24"/>
        <v>0</v>
      </c>
      <c r="S111" s="695">
        <f t="shared" si="24"/>
        <v>0</v>
      </c>
      <c r="T111" s="695">
        <f t="shared" si="24"/>
        <v>0</v>
      </c>
      <c r="U111" s="695">
        <f t="shared" si="24"/>
        <v>0</v>
      </c>
      <c r="V111" s="695">
        <f t="shared" si="24"/>
        <v>0</v>
      </c>
      <c r="W111" s="695">
        <f t="shared" si="24"/>
        <v>0</v>
      </c>
      <c r="X111" s="695">
        <f t="shared" si="24"/>
        <v>0</v>
      </c>
      <c r="Y111" s="695">
        <f t="shared" si="24"/>
        <v>0</v>
      </c>
      <c r="Z111" s="695">
        <f t="shared" si="24"/>
        <v>0</v>
      </c>
      <c r="AA111" s="695">
        <f t="shared" si="24"/>
        <v>0</v>
      </c>
      <c r="AB111" s="695">
        <f t="shared" si="24"/>
        <v>0</v>
      </c>
      <c r="AC111" s="695">
        <f t="shared" si="24"/>
        <v>0</v>
      </c>
      <c r="AD111" s="695">
        <f t="shared" si="24"/>
        <v>0</v>
      </c>
      <c r="AE111" s="695">
        <f t="shared" si="24"/>
        <v>0</v>
      </c>
      <c r="AF111" s="695">
        <f t="shared" si="24"/>
        <v>0</v>
      </c>
      <c r="AG111" s="234"/>
    </row>
    <row r="112" spans="3:33" x14ac:dyDescent="0.25">
      <c r="C112" s="10"/>
      <c r="D112" s="11" t="s">
        <v>402</v>
      </c>
      <c r="E112" s="11"/>
      <c r="F112" s="11"/>
      <c r="G112" s="695">
        <f>IF('Utility Sector'!$E$39, MIN(G106,G103)*G109, G103*G109)</f>
        <v>0</v>
      </c>
      <c r="H112" s="695">
        <f>IF('Utility Sector'!$E$39, MIN(H106,H103)*H109, H103*H109)</f>
        <v>746325.57746195409</v>
      </c>
      <c r="I112" s="695">
        <f ca="1">IF('Utility Sector'!$E$39, MIN(I106,I103)*I109, I103*I109)</f>
        <v>698955.30413442792</v>
      </c>
      <c r="J112" s="695">
        <f ca="1">IF('Utility Sector'!$E$39, MIN(J106,J103)*J109, J103*J109)</f>
        <v>650215.08647325891</v>
      </c>
      <c r="K112" s="695">
        <f ca="1">IF('Utility Sector'!$E$39, MIN(K106,K103)*K109, K103*K109)</f>
        <v>600061.24427608354</v>
      </c>
      <c r="L112" s="695">
        <f ca="1">IF('Utility Sector'!$E$39, MIN(L106,L103)*L109, L103*L109)</f>
        <v>548448.74891418847</v>
      </c>
      <c r="M112" s="695">
        <f ca="1">IF('Utility Sector'!$E$39, MIN(M106,M103)*M109, M103*M109)</f>
        <v>495331.18136521947</v>
      </c>
      <c r="N112" s="695">
        <f ca="1">IF('Utility Sector'!$E$39, MIN(N106,N103)*N109, N103*N109)</f>
        <v>440660.68893296708</v>
      </c>
      <c r="O112" s="695">
        <f ca="1">IF('Utility Sector'!$E$39, MIN(O106,O103)*O109, O103*O109)</f>
        <v>384387.94061294611</v>
      </c>
      <c r="P112" s="695">
        <f ca="1">IF('Utility Sector'!$E$39, MIN(P106,P103)*P109, P103*P109)</f>
        <v>326462.08106111723</v>
      </c>
      <c r="Q112" s="695">
        <f ca="1">IF('Utility Sector'!$E$39, MIN(Q106,Q103)*Q109, Q103*Q109)</f>
        <v>266830.68312181067</v>
      </c>
      <c r="R112" s="695">
        <f>IF('Utility Sector'!$E$39, MIN(R106,R103)*R109, R103*R109)</f>
        <v>0</v>
      </c>
      <c r="S112" s="695">
        <f>IF('Utility Sector'!$E$39, MIN(S106,S103)*S109, S103*S109)</f>
        <v>0</v>
      </c>
      <c r="T112" s="695">
        <f>IF('Utility Sector'!$E$39, MIN(T106,T103)*T109, T103*T109)</f>
        <v>0</v>
      </c>
      <c r="U112" s="695">
        <f>IF('Utility Sector'!$E$39, MIN(U106,U103)*U109, U103*U109)</f>
        <v>0</v>
      </c>
      <c r="V112" s="695">
        <f>IF('Utility Sector'!$E$39, MIN(V106,V103)*V109, V103*V109)</f>
        <v>0</v>
      </c>
      <c r="W112" s="695">
        <f>IF('Utility Sector'!$E$39, MIN(W106,W103)*W109, W103*W109)</f>
        <v>0</v>
      </c>
      <c r="X112" s="695">
        <f>IF('Utility Sector'!$E$39, MIN(X106,X103)*X109, X103*X109)</f>
        <v>0</v>
      </c>
      <c r="Y112" s="695">
        <f>IF('Utility Sector'!$E$39, MIN(Y106,Y103)*Y109, Y103*Y109)</f>
        <v>0</v>
      </c>
      <c r="Z112" s="695">
        <f>IF('Utility Sector'!$E$39, MIN(Z106,Z103)*Z109, Z103*Z109)</f>
        <v>0</v>
      </c>
      <c r="AA112" s="695">
        <f>IF('Utility Sector'!$E$39, MIN(AA106,AA103)*AA109, AA103*AA109)</f>
        <v>0</v>
      </c>
      <c r="AB112" s="695">
        <f>IF('Utility Sector'!$E$39, MIN(AB106,AB103)*AB109, AB103*AB109)</f>
        <v>0</v>
      </c>
      <c r="AC112" s="695">
        <f>IF('Utility Sector'!$E$39, MIN(AC106,AC103)*AC109, AC103*AC109)</f>
        <v>0</v>
      </c>
      <c r="AD112" s="695">
        <f>IF('Utility Sector'!$E$39, MIN(AD106,AD103)*AD109, AD103*AD109)</f>
        <v>0</v>
      </c>
      <c r="AE112" s="695">
        <f>IF('Utility Sector'!$E$39, MIN(AE106,AE103)*AE109, AE103*AE109)</f>
        <v>0</v>
      </c>
      <c r="AF112" s="695">
        <f>IF('Utility Sector'!$E$39, MIN(AF106,AF103)*AF109, AF103*AF109)</f>
        <v>0</v>
      </c>
      <c r="AG112" s="234"/>
    </row>
    <row r="113" spans="3:33" x14ac:dyDescent="0.25">
      <c r="C113" s="10"/>
      <c r="D113" s="11" t="s">
        <v>403</v>
      </c>
      <c r="E113" s="11"/>
      <c r="F113" s="11"/>
      <c r="G113" s="695">
        <f>IF('Utility Sector'!$E$39, MIN(G107,G104)*G110, G104*G110)</f>
        <v>0</v>
      </c>
      <c r="H113" s="695">
        <f>IF('Utility Sector'!$E$39, MIN(H107,H104)*H110, H104*H110)</f>
        <v>11775221.819235809</v>
      </c>
      <c r="I113" s="695">
        <f>IF('Utility Sector'!$E$39, MIN(I107,I104)*I110, I104*I110)</f>
        <v>12176821.704897767</v>
      </c>
      <c r="J113" s="695">
        <f>IF('Utility Sector'!$E$39, MIN(J107,J104)*J110, J104*J110)</f>
        <v>12597216.307711948</v>
      </c>
      <c r="K113" s="695">
        <f>IF('Utility Sector'!$E$39, MIN(K107,K104)*K110, K104*K110)</f>
        <v>13037377.051640391</v>
      </c>
      <c r="L113" s="695">
        <f>IF('Utility Sector'!$E$39, MIN(L107,L104)*L110, L104*L110)</f>
        <v>13498326.518563792</v>
      </c>
      <c r="M113" s="695">
        <f>IF('Utility Sector'!$E$39, MIN(M107,M104)*M110, M104*M110)</f>
        <v>13981141.142500283</v>
      </c>
      <c r="N113" s="695">
        <f>IF('Utility Sector'!$E$39, MIN(N107,N104)*N110, N104*N110)</f>
        <v>14486954.045331044</v>
      </c>
      <c r="O113" s="695">
        <f>IF('Utility Sector'!$E$39, MIN(O107,O104)*O110, O104*O110)</f>
        <v>15016958.021447957</v>
      </c>
      <c r="P113" s="695">
        <f>IF('Utility Sector'!$E$39, MIN(P107,P104)*P110, P104*P110)</f>
        <v>15572408.679126726</v>
      </c>
      <c r="Q113" s="695">
        <f>IF('Utility Sector'!$E$39, MIN(Q107,Q104)*Q110, Q104*Q110)</f>
        <v>16154627.746836912</v>
      </c>
      <c r="R113" s="695">
        <f>IF('Utility Sector'!$E$39, MIN(R107,R104)*R110, R104*R110)</f>
        <v>0</v>
      </c>
      <c r="S113" s="695">
        <f>IF('Utility Sector'!$E$39, MIN(S107,S104)*S110, S104*S110)</f>
        <v>0</v>
      </c>
      <c r="T113" s="695">
        <f>IF('Utility Sector'!$E$39, MIN(T107,T104)*T110, T104*T110)</f>
        <v>0</v>
      </c>
      <c r="U113" s="695">
        <f>IF('Utility Sector'!$E$39, MIN(U107,U104)*U110, U104*U110)</f>
        <v>0</v>
      </c>
      <c r="V113" s="695">
        <f>IF('Utility Sector'!$E$39, MIN(V107,V104)*V110, V104*V110)</f>
        <v>0</v>
      </c>
      <c r="W113" s="695">
        <f>IF('Utility Sector'!$E$39, MIN(W107,W104)*W110, W104*W110)</f>
        <v>0</v>
      </c>
      <c r="X113" s="695">
        <f>IF('Utility Sector'!$E$39, MIN(X107,X104)*X110, X104*X110)</f>
        <v>0</v>
      </c>
      <c r="Y113" s="695">
        <f>IF('Utility Sector'!$E$39, MIN(Y107,Y104)*Y110, Y104*Y110)</f>
        <v>0</v>
      </c>
      <c r="Z113" s="695">
        <f>IF('Utility Sector'!$E$39, MIN(Z107,Z104)*Z110, Z104*Z110)</f>
        <v>0</v>
      </c>
      <c r="AA113" s="695">
        <f>IF('Utility Sector'!$E$39, MIN(AA107,AA104)*AA110, AA104*AA110)</f>
        <v>0</v>
      </c>
      <c r="AB113" s="695">
        <f>IF('Utility Sector'!$E$39, MIN(AB107,AB104)*AB110, AB104*AB110)</f>
        <v>0</v>
      </c>
      <c r="AC113" s="695">
        <f>IF('Utility Sector'!$E$39, MIN(AC107,AC104)*AC110, AC104*AC110)</f>
        <v>0</v>
      </c>
      <c r="AD113" s="695">
        <f>IF('Utility Sector'!$E$39, MIN(AD107,AD104)*AD110, AD104*AD110)</f>
        <v>0</v>
      </c>
      <c r="AE113" s="695">
        <f>IF('Utility Sector'!$E$39, MIN(AE107,AE104)*AE110, AE104*AE110)</f>
        <v>0</v>
      </c>
      <c r="AF113" s="695">
        <f>IF('Utility Sector'!$E$39, MIN(AF107,AF104)*AF110, AF104*AF110)</f>
        <v>0</v>
      </c>
      <c r="AG113" s="234"/>
    </row>
    <row r="114" spans="3:33" x14ac:dyDescent="0.25">
      <c r="C114" s="740" t="s">
        <v>155</v>
      </c>
      <c r="D114" s="741"/>
      <c r="E114" s="741"/>
      <c r="F114" s="741"/>
      <c r="G114" s="741"/>
      <c r="H114" s="741"/>
      <c r="I114" s="741"/>
      <c r="J114" s="741"/>
      <c r="K114" s="741"/>
      <c r="L114" s="741"/>
      <c r="M114" s="766"/>
      <c r="AG114" s="234"/>
    </row>
    <row r="115" spans="3:33" x14ac:dyDescent="0.25">
      <c r="C115" s="169" t="s">
        <v>156</v>
      </c>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234"/>
    </row>
    <row r="116" spans="3:33" x14ac:dyDescent="0.25">
      <c r="C116" s="171"/>
      <c r="D116" s="172"/>
      <c r="E116" s="172" t="s">
        <v>3</v>
      </c>
      <c r="F116" s="172" t="str">
        <f>'Utility Sector'!E55</f>
        <v>Plant A</v>
      </c>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234"/>
    </row>
    <row r="117" spans="3:33" x14ac:dyDescent="0.25">
      <c r="C117" s="173"/>
      <c r="D117" s="174"/>
      <c r="E117" s="174" t="s">
        <v>157</v>
      </c>
      <c r="F117" s="203" t="s">
        <v>79</v>
      </c>
      <c r="G117" s="319">
        <f>IF('Utility Sector'!$E$56&gt;0,INDEX($G$3:$AF$25,22,MATCH('Utility Sector'!$E$56,$G$4:$AF$4)),0)</f>
        <v>16988283.048525494</v>
      </c>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234"/>
    </row>
    <row r="118" spans="3:33" x14ac:dyDescent="0.25">
      <c r="C118" s="173"/>
      <c r="D118" s="174"/>
      <c r="E118" s="174" t="s">
        <v>158</v>
      </c>
      <c r="F118" s="203" t="s">
        <v>79</v>
      </c>
      <c r="G118" s="319">
        <f>IF('Utility Sector'!$E$56&gt;0,INDEX($G$3:$AF$25,23,MATCH('Utility Sector'!$E$56,$G$4:$AF$4)),0)</f>
        <v>16494801.757492028</v>
      </c>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234"/>
    </row>
    <row r="119" spans="3:33" x14ac:dyDescent="0.25">
      <c r="C119" s="173"/>
      <c r="D119" s="174"/>
      <c r="E119" s="174" t="s">
        <v>206</v>
      </c>
      <c r="F119" s="203" t="s">
        <v>160</v>
      </c>
      <c r="G119" s="174">
        <f>(COUNT($G$25:$AF$25)-COUNTIFS($G$25:$AF$25,"&gt;"&amp;$G$117))</f>
        <v>11</v>
      </c>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234"/>
    </row>
    <row r="120" spans="3:33" x14ac:dyDescent="0.25">
      <c r="C120" s="173"/>
      <c r="D120" s="174"/>
      <c r="E120" s="174" t="s">
        <v>161</v>
      </c>
      <c r="F120" s="203" t="s">
        <v>31</v>
      </c>
      <c r="G120" s="174">
        <f>$G$119-'Utility Sector'!$E$56</f>
        <v>4</v>
      </c>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234"/>
    </row>
    <row r="121" spans="3:33" x14ac:dyDescent="0.25">
      <c r="C121" s="173"/>
      <c r="D121" s="174"/>
      <c r="E121" s="174" t="s">
        <v>162</v>
      </c>
      <c r="F121" s="203" t="s">
        <v>97</v>
      </c>
      <c r="G121" s="174">
        <f>0-G120</f>
        <v>-4</v>
      </c>
      <c r="H121" s="174">
        <f>G121+1</f>
        <v>-3</v>
      </c>
      <c r="I121" s="174">
        <f t="shared" ref="I121:AF121" si="25">H121+1</f>
        <v>-2</v>
      </c>
      <c r="J121" s="174">
        <f t="shared" si="25"/>
        <v>-1</v>
      </c>
      <c r="K121" s="174">
        <f t="shared" si="25"/>
        <v>0</v>
      </c>
      <c r="L121" s="174">
        <f t="shared" si="25"/>
        <v>1</v>
      </c>
      <c r="M121" s="174">
        <f t="shared" si="25"/>
        <v>2</v>
      </c>
      <c r="N121" s="174">
        <f t="shared" si="25"/>
        <v>3</v>
      </c>
      <c r="O121" s="174">
        <f t="shared" si="25"/>
        <v>4</v>
      </c>
      <c r="P121" s="174">
        <f t="shared" si="25"/>
        <v>5</v>
      </c>
      <c r="Q121" s="174">
        <f t="shared" si="25"/>
        <v>6</v>
      </c>
      <c r="R121" s="174">
        <f t="shared" si="25"/>
        <v>7</v>
      </c>
      <c r="S121" s="174">
        <f t="shared" si="25"/>
        <v>8</v>
      </c>
      <c r="T121" s="174">
        <f t="shared" si="25"/>
        <v>9</v>
      </c>
      <c r="U121" s="174">
        <f t="shared" si="25"/>
        <v>10</v>
      </c>
      <c r="V121" s="174">
        <f t="shared" si="25"/>
        <v>11</v>
      </c>
      <c r="W121" s="174">
        <f t="shared" si="25"/>
        <v>12</v>
      </c>
      <c r="X121" s="174">
        <f t="shared" si="25"/>
        <v>13</v>
      </c>
      <c r="Y121" s="174">
        <f t="shared" si="25"/>
        <v>14</v>
      </c>
      <c r="Z121" s="174">
        <f>Y121+1</f>
        <v>15</v>
      </c>
      <c r="AA121" s="174">
        <f t="shared" si="25"/>
        <v>16</v>
      </c>
      <c r="AB121" s="174">
        <f t="shared" si="25"/>
        <v>17</v>
      </c>
      <c r="AC121" s="174">
        <f t="shared" si="25"/>
        <v>18</v>
      </c>
      <c r="AD121" s="174">
        <f t="shared" si="25"/>
        <v>19</v>
      </c>
      <c r="AE121" s="174">
        <f t="shared" si="25"/>
        <v>20</v>
      </c>
      <c r="AF121" s="174">
        <f t="shared" si="25"/>
        <v>21</v>
      </c>
      <c r="AG121" s="234"/>
    </row>
    <row r="122" spans="3:33" x14ac:dyDescent="0.25">
      <c r="C122" s="173"/>
      <c r="D122" s="174"/>
      <c r="E122" s="174" t="s">
        <v>163</v>
      </c>
      <c r="F122" s="203" t="s">
        <v>18</v>
      </c>
      <c r="G122" s="342">
        <f>IF((G4-$G$120)&gt;=0,INDEX('Utility Sector'!$I$56:$AH$57,2,MATCH(G121,'Utility Sector'!$I$56:$AH$56,0)),0)</f>
        <v>0</v>
      </c>
      <c r="H122" s="342">
        <f>IF((H4-$G$120)&gt;=0,INDEX('Utility Sector'!$I$56:$AH$57,2,MATCH(H121,'Utility Sector'!$I$56:$AH$56,0)),0)</f>
        <v>0</v>
      </c>
      <c r="I122" s="342">
        <f>IF((I4-$G$120)&gt;=0,INDEX('Utility Sector'!$I$56:$AH$57,2,MATCH(I121,'Utility Sector'!$I$56:$AH$56,0)),0)</f>
        <v>0</v>
      </c>
      <c r="J122" s="342">
        <f>IF((J4-$G$120)&gt;=0,INDEX('Utility Sector'!$I$56:$AH$57,2,MATCH(J121,'Utility Sector'!$I$56:$AH$56,0)),0)</f>
        <v>0</v>
      </c>
      <c r="K122" s="342">
        <f>IF((K4-$G$120)&gt;=0,INDEX('Utility Sector'!$I$56:$AH$57,2,MATCH(K121,'Utility Sector'!$I$56:$AH$56,0)),0)</f>
        <v>0</v>
      </c>
      <c r="L122" s="342">
        <f>IF((L4-$G$120)&gt;=0,INDEX('Utility Sector'!$I$56:$AH$57,2,MATCH(L121,'Utility Sector'!$I$56:$AH$56,0)),0)</f>
        <v>0</v>
      </c>
      <c r="M122" s="342">
        <f>IF((M4-$G$120)&gt;=0,INDEX('Utility Sector'!$I$56:$AH$57,2,MATCH(M121,'Utility Sector'!$I$56:$AH$56,0)),0)</f>
        <v>0</v>
      </c>
      <c r="N122" s="342">
        <f>IF((N4-$G$120)&gt;=0,INDEX('Utility Sector'!$I$56:$AH$57,2,MATCH(N121,'Utility Sector'!$I$56:$AH$56,0)),0)</f>
        <v>0</v>
      </c>
      <c r="O122" s="342">
        <f>IF((O4-$G$120)&gt;=0,INDEX('Utility Sector'!$I$56:$AH$57,2,MATCH(O121,'Utility Sector'!$I$56:$AH$56,0)),0)</f>
        <v>0</v>
      </c>
      <c r="P122" s="342">
        <f>IF((P4-$G$120)&gt;=0,INDEX('Utility Sector'!$I$56:$AH$57,2,MATCH(P121,'Utility Sector'!$I$56:$AH$56,0)),0)</f>
        <v>0</v>
      </c>
      <c r="Q122" s="342">
        <f>IF((Q4-$G$120)&gt;=0,INDEX('Utility Sector'!$I$56:$AH$57,2,MATCH(Q121,'Utility Sector'!$I$56:$AH$56,0)),0)</f>
        <v>0</v>
      </c>
      <c r="R122" s="342">
        <f>IF((R4-$G$120)&gt;=0,INDEX('Utility Sector'!$I$56:$AH$57,2,MATCH(R121,'Utility Sector'!$I$56:$AH$56,0)),0)</f>
        <v>0</v>
      </c>
      <c r="S122" s="342">
        <f>IF((S4-$G$120)&gt;=0,INDEX('Utility Sector'!$I$56:$AH$57,2,MATCH(S121,'Utility Sector'!$I$56:$AH$56,0)),0)</f>
        <v>0</v>
      </c>
      <c r="T122" s="342">
        <f>IF((T4-$G$120)&gt;=0,INDEX('Utility Sector'!$I$56:$AH$57,2,MATCH(T121,'Utility Sector'!$I$56:$AH$56,0)),0)</f>
        <v>0</v>
      </c>
      <c r="U122" s="342">
        <f>IF((U4-$G$120)&gt;=0,INDEX('Utility Sector'!$I$56:$AH$57,2,MATCH(U121,'Utility Sector'!$I$56:$AH$56,0)),0)</f>
        <v>0</v>
      </c>
      <c r="V122" s="342">
        <f>IF((V4-$G$120)&gt;=0,INDEX('Utility Sector'!$I$56:$AH$57,2,MATCH(V121,'Utility Sector'!$I$56:$AH$56,0)),0)</f>
        <v>0</v>
      </c>
      <c r="W122" s="342">
        <f>IF((W4-$G$120)&gt;=0,INDEX('Utility Sector'!$I$56:$AH$57,2,MATCH(W121,'Utility Sector'!$I$56:$AH$56,0)),0)</f>
        <v>0</v>
      </c>
      <c r="X122" s="342">
        <f>IF((X4-$G$120)&gt;=0,INDEX('Utility Sector'!$I$56:$AH$57,2,MATCH(X121,'Utility Sector'!$I$56:$AH$56,0)),0)</f>
        <v>0</v>
      </c>
      <c r="Y122" s="342">
        <f>IF((Y4-$G$120)&gt;=0,INDEX('Utility Sector'!$I$56:$AH$57,2,MATCH(Y121,'Utility Sector'!$I$56:$AH$56,0)),0)</f>
        <v>0</v>
      </c>
      <c r="Z122" s="342">
        <f>IF((Z4-$G$120)&gt;=0,INDEX('Utility Sector'!$I$56:$AH$57,2,MATCH(Z121,'Utility Sector'!$I$56:$AH$56,0)),0)</f>
        <v>0</v>
      </c>
      <c r="AA122" s="342">
        <f>IF((AA4-$G$120)&gt;=0,INDEX('Utility Sector'!$I$56:$AH$57,2,MATCH(AA121,'Utility Sector'!$I$56:$AH$56,0)),0)</f>
        <v>0</v>
      </c>
      <c r="AB122" s="342">
        <f>IF((AB4-$G$120)&gt;=0,INDEX('Utility Sector'!$I$56:$AH$57,2,MATCH(AB121,'Utility Sector'!$I$56:$AH$56,0)),0)</f>
        <v>0</v>
      </c>
      <c r="AC122" s="342">
        <f>IF((AC4-$G$120)&gt;=0,INDEX('Utility Sector'!$I$56:$AH$57,2,MATCH(AC121,'Utility Sector'!$I$56:$AH$56,0)),0)</f>
        <v>0</v>
      </c>
      <c r="AD122" s="342">
        <f>IF((AD4-$G$120)&gt;=0,INDEX('Utility Sector'!$I$56:$AH$57,2,MATCH(AD121,'Utility Sector'!$I$56:$AH$56,0)),0)</f>
        <v>0</v>
      </c>
      <c r="AE122" s="342">
        <f>IF((AE4-$G$120)&gt;=0,INDEX('Utility Sector'!$I$56:$AH$57,2,MATCH(AE121,'Utility Sector'!$I$56:$AH$56,0)),0)</f>
        <v>0</v>
      </c>
      <c r="AF122" s="342">
        <f>IF((AF4-$G$120)&gt;=0,INDEX('Utility Sector'!$I$56:$AH$57,2,MATCH(AF121,'Utility Sector'!$I$56:$AH$56,0)),0)</f>
        <v>0</v>
      </c>
      <c r="AG122" s="234"/>
    </row>
    <row r="123" spans="3:33" x14ac:dyDescent="0.25">
      <c r="C123" s="171" t="s">
        <v>164</v>
      </c>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234"/>
    </row>
    <row r="124" spans="3:33" x14ac:dyDescent="0.25">
      <c r="C124" s="171"/>
      <c r="D124" s="172"/>
      <c r="E124" s="172" t="s">
        <v>3</v>
      </c>
      <c r="F124" s="172" t="str">
        <f>'Utility Sector'!E60</f>
        <v>Plant B</v>
      </c>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234"/>
    </row>
    <row r="125" spans="3:33" x14ac:dyDescent="0.25">
      <c r="C125" s="173"/>
      <c r="D125" s="174"/>
      <c r="E125" s="174" t="s">
        <v>157</v>
      </c>
      <c r="F125" s="203" t="s">
        <v>79</v>
      </c>
      <c r="G125" s="319">
        <f>IF('Utility Sector'!$E$61&gt;0,INDEX($G$3:$AF$25,22,MATCH('Utility Sector'!$E$61,$G$4:$AF$4)),0)</f>
        <v>19211580.241681218</v>
      </c>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234"/>
    </row>
    <row r="126" spans="3:33" x14ac:dyDescent="0.25">
      <c r="C126" s="173"/>
      <c r="D126" s="174"/>
      <c r="E126" s="174" t="s">
        <v>158</v>
      </c>
      <c r="F126" s="203" t="s">
        <v>79</v>
      </c>
      <c r="G126" s="319">
        <f>IF('Utility Sector'!$E$61&gt;0,INDEX($G$3:$AF$25,23,MATCH('Utility Sector'!$E$61,$G$4:$AF$4)),0)</f>
        <v>18359179.938007593</v>
      </c>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234"/>
    </row>
    <row r="127" spans="3:33" x14ac:dyDescent="0.25">
      <c r="C127" s="173"/>
      <c r="D127" s="174"/>
      <c r="E127" s="174" t="s">
        <v>159</v>
      </c>
      <c r="F127" s="203" t="s">
        <v>160</v>
      </c>
      <c r="G127" s="174">
        <f>(COUNT($G$25:$AF$25)-COUNTIFS($G$25:$AF$25,"&gt;"&amp;G125))</f>
        <v>21</v>
      </c>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234"/>
    </row>
    <row r="128" spans="3:33" x14ac:dyDescent="0.25">
      <c r="C128" s="173"/>
      <c r="D128" s="174"/>
      <c r="E128" s="174" t="s">
        <v>161</v>
      </c>
      <c r="F128" s="203" t="s">
        <v>31</v>
      </c>
      <c r="G128" s="174">
        <f>G127-'Utility Sector'!$E$61</f>
        <v>4</v>
      </c>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234"/>
    </row>
    <row r="129" spans="3:33" x14ac:dyDescent="0.25">
      <c r="C129" s="173"/>
      <c r="D129" s="174"/>
      <c r="E129" s="174" t="s">
        <v>162</v>
      </c>
      <c r="F129" s="203" t="s">
        <v>97</v>
      </c>
      <c r="G129" s="174">
        <f>0-G128</f>
        <v>-4</v>
      </c>
      <c r="H129" s="174">
        <f>G129+1</f>
        <v>-3</v>
      </c>
      <c r="I129" s="174">
        <f t="shared" ref="I129:Y129" si="26">H129+1</f>
        <v>-2</v>
      </c>
      <c r="J129" s="174">
        <f t="shared" si="26"/>
        <v>-1</v>
      </c>
      <c r="K129" s="174">
        <f t="shared" si="26"/>
        <v>0</v>
      </c>
      <c r="L129" s="174">
        <f t="shared" si="26"/>
        <v>1</v>
      </c>
      <c r="M129" s="174">
        <f t="shared" si="26"/>
        <v>2</v>
      </c>
      <c r="N129" s="174">
        <f t="shared" si="26"/>
        <v>3</v>
      </c>
      <c r="O129" s="174">
        <f t="shared" si="26"/>
        <v>4</v>
      </c>
      <c r="P129" s="174">
        <f t="shared" si="26"/>
        <v>5</v>
      </c>
      <c r="Q129" s="174">
        <f t="shared" si="26"/>
        <v>6</v>
      </c>
      <c r="R129" s="174">
        <f t="shared" si="26"/>
        <v>7</v>
      </c>
      <c r="S129" s="174">
        <f t="shared" si="26"/>
        <v>8</v>
      </c>
      <c r="T129" s="174">
        <f t="shared" si="26"/>
        <v>9</v>
      </c>
      <c r="U129" s="174">
        <f t="shared" si="26"/>
        <v>10</v>
      </c>
      <c r="V129" s="174">
        <f t="shared" si="26"/>
        <v>11</v>
      </c>
      <c r="W129" s="174">
        <f t="shared" si="26"/>
        <v>12</v>
      </c>
      <c r="X129" s="174">
        <f t="shared" si="26"/>
        <v>13</v>
      </c>
      <c r="Y129" s="174">
        <f t="shared" si="26"/>
        <v>14</v>
      </c>
      <c r="Z129" s="174">
        <f>Y129+1</f>
        <v>15</v>
      </c>
      <c r="AA129" s="174">
        <f t="shared" ref="AA129:AF129" si="27">Z129+1</f>
        <v>16</v>
      </c>
      <c r="AB129" s="174">
        <f t="shared" si="27"/>
        <v>17</v>
      </c>
      <c r="AC129" s="174">
        <f t="shared" si="27"/>
        <v>18</v>
      </c>
      <c r="AD129" s="174">
        <f t="shared" si="27"/>
        <v>19</v>
      </c>
      <c r="AE129" s="174">
        <f t="shared" si="27"/>
        <v>20</v>
      </c>
      <c r="AF129" s="174">
        <f t="shared" si="27"/>
        <v>21</v>
      </c>
      <c r="AG129" s="234"/>
    </row>
    <row r="130" spans="3:33" x14ac:dyDescent="0.25">
      <c r="C130" s="173"/>
      <c r="D130" s="174"/>
      <c r="E130" s="174" t="s">
        <v>163</v>
      </c>
      <c r="F130" s="203" t="s">
        <v>18</v>
      </c>
      <c r="G130" s="342">
        <f>IF((G4-$G$128)&gt;=0,INDEX('Utility Sector'!$I$61:$AH$62,2,MATCH(G129,'Utility Sector'!$I$61:$AH$61,0)),0)</f>
        <v>0</v>
      </c>
      <c r="H130" s="342">
        <f>IF((H4-$G$128)&gt;=0,INDEX('Utility Sector'!$I$61:$AH$62,2,MATCH(H129,'Utility Sector'!$I$61:$AH$61,0)),0)</f>
        <v>0</v>
      </c>
      <c r="I130" s="342">
        <f>IF((I4-$G$128)&gt;=0,INDEX('Utility Sector'!$I$61:$AH$62,2,MATCH(I129,'Utility Sector'!$I$61:$AH$61,0)),0)</f>
        <v>0</v>
      </c>
      <c r="J130" s="342">
        <f>IF((J4-$G$128)&gt;=0,INDEX('Utility Sector'!$I$61:$AH$62,2,MATCH(J129,'Utility Sector'!$I$61:$AH$61,0)),0)</f>
        <v>0</v>
      </c>
      <c r="K130" s="342">
        <f>IF((K4-$G$128)&gt;=0,INDEX('Utility Sector'!$I$61:$AH$62,2,MATCH(K129,'Utility Sector'!$I$61:$AH$61,0)),0)</f>
        <v>0</v>
      </c>
      <c r="L130" s="342">
        <f>IF((L4-$G$128)&gt;=0,INDEX('Utility Sector'!$I$61:$AH$62,2,MATCH(L129,'Utility Sector'!$I$61:$AH$61,0)),0)</f>
        <v>0</v>
      </c>
      <c r="M130" s="342">
        <f>IF((M4-$G$128)&gt;=0,INDEX('Utility Sector'!$I$61:$AH$62,2,MATCH(M129,'Utility Sector'!$I$61:$AH$61,0)),0)</f>
        <v>0</v>
      </c>
      <c r="N130" s="342">
        <f>IF((N4-$G$128)&gt;=0,INDEX('Utility Sector'!$I$61:$AH$62,2,MATCH(N129,'Utility Sector'!$I$61:$AH$61,0)),0)</f>
        <v>0</v>
      </c>
      <c r="O130" s="342">
        <f>IF((O4-$G$128)&gt;=0,INDEX('Utility Sector'!$I$61:$AH$62,2,MATCH(O129,'Utility Sector'!$I$61:$AH$61,0)),0)</f>
        <v>0</v>
      </c>
      <c r="P130" s="342">
        <f>IF((P4-$G$128)&gt;=0,INDEX('Utility Sector'!$I$61:$AH$62,2,MATCH(P129,'Utility Sector'!$I$61:$AH$61,0)),0)</f>
        <v>0</v>
      </c>
      <c r="Q130" s="342">
        <f>IF((Q4-$G$128)&gt;=0,INDEX('Utility Sector'!$I$61:$AH$62,2,MATCH(Q129,'Utility Sector'!$I$61:$AH$61,0)),0)</f>
        <v>0</v>
      </c>
      <c r="R130" s="342">
        <f>IF((R4-$G$128)&gt;=0,INDEX('Utility Sector'!$I$61:$AH$62,2,MATCH(R129,'Utility Sector'!$I$61:$AH$61,0)),0)</f>
        <v>0</v>
      </c>
      <c r="S130" s="342">
        <f>IF((S4-$G$128)&gt;=0,INDEX('Utility Sector'!$I$61:$AH$62,2,MATCH(S129,'Utility Sector'!$I$61:$AH$61,0)),0)</f>
        <v>0</v>
      </c>
      <c r="T130" s="342">
        <f>IF((T4-$G$128)&gt;=0,INDEX('Utility Sector'!$I$61:$AH$62,2,MATCH(T129,'Utility Sector'!$I$61:$AH$61,0)),0)</f>
        <v>0</v>
      </c>
      <c r="U130" s="342">
        <f>IF((U4-$G$128)&gt;=0,INDEX('Utility Sector'!$I$61:$AH$62,2,MATCH(U129,'Utility Sector'!$I$61:$AH$61,0)),0)</f>
        <v>0</v>
      </c>
      <c r="V130" s="342">
        <f>IF((V4-$G$128)&gt;=0,INDEX('Utility Sector'!$I$61:$AH$62,2,MATCH(V129,'Utility Sector'!$I$61:$AH$61,0)),0)</f>
        <v>0</v>
      </c>
      <c r="W130" s="342">
        <f>IF((W4-$G$128)&gt;=0,INDEX('Utility Sector'!$I$61:$AH$62,2,MATCH(W129,'Utility Sector'!$I$61:$AH$61,0)),0)</f>
        <v>0</v>
      </c>
      <c r="X130" s="342">
        <f>IF((X4-$G$128)&gt;=0,INDEX('Utility Sector'!$I$61:$AH$62,2,MATCH(X129,'Utility Sector'!$I$61:$AH$61,0)),0)</f>
        <v>0</v>
      </c>
      <c r="Y130" s="342">
        <f>IF((Y4-$G$128)&gt;=0,INDEX('Utility Sector'!$I$61:$AH$62,2,MATCH(Y129,'Utility Sector'!$I$61:$AH$61,0)),0)</f>
        <v>0</v>
      </c>
      <c r="Z130" s="342">
        <f>IF((Z4-$G$128)&gt;=0,INDEX('Utility Sector'!$I$61:$AH$62,2,MATCH(Z129,'Utility Sector'!$I$61:$AH$61,0)),0)</f>
        <v>0</v>
      </c>
      <c r="AA130" s="342">
        <f>IF((AA4-$G$128)&gt;=0,INDEX('Utility Sector'!$I$61:$AH$62,2,MATCH(AA129,'Utility Sector'!$I$61:$AH$61,0)),0)</f>
        <v>0</v>
      </c>
      <c r="AB130" s="342">
        <f>IF((AB4-$G$128)&gt;=0,INDEX('Utility Sector'!$I$61:$AH$62,2,MATCH(AB129,'Utility Sector'!$I$61:$AH$61,0)),0)</f>
        <v>0</v>
      </c>
      <c r="AC130" s="342">
        <f>IF((AC4-$G$128)&gt;=0,INDEX('Utility Sector'!$I$61:$AH$62,2,MATCH(AC129,'Utility Sector'!$I$61:$AH$61,0)),0)</f>
        <v>0</v>
      </c>
      <c r="AD130" s="342">
        <f>IF((AD4-$G$128)&gt;=0,INDEX('Utility Sector'!$I$61:$AH$62,2,MATCH(AD129,'Utility Sector'!$I$61:$AH$61,0)),0)</f>
        <v>0</v>
      </c>
      <c r="AE130" s="342">
        <f>IF((AE4-$G$128)&gt;=0,INDEX('Utility Sector'!$I$61:$AH$62,2,MATCH(AE129,'Utility Sector'!$I$61:$AH$61,0)),0)</f>
        <v>0</v>
      </c>
      <c r="AF130" s="342">
        <f>IF((AF4-$G$128)&gt;=0,INDEX('Utility Sector'!$I$61:$AH$62,2,MATCH(AF129,'Utility Sector'!$I$61:$AH$61,0)),0)</f>
        <v>0</v>
      </c>
      <c r="AG130" s="234"/>
    </row>
    <row r="131" spans="3:33" x14ac:dyDescent="0.25">
      <c r="C131" s="171" t="s">
        <v>165</v>
      </c>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234"/>
    </row>
    <row r="132" spans="3:33" x14ac:dyDescent="0.25">
      <c r="C132" s="171"/>
      <c r="D132" s="172"/>
      <c r="E132" s="172" t="s">
        <v>3</v>
      </c>
      <c r="F132" s="172" t="str">
        <f>'Utility Sector'!E65</f>
        <v>Plant C</v>
      </c>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234"/>
    </row>
    <row r="133" spans="3:33" x14ac:dyDescent="0.25">
      <c r="C133" s="173"/>
      <c r="D133" s="174"/>
      <c r="E133" s="174" t="s">
        <v>157</v>
      </c>
      <c r="F133" s="203" t="s">
        <v>79</v>
      </c>
      <c r="G133" s="319">
        <f>IF('Utility Sector'!$E$66&gt;0,INDEX($G$3:$AF$25,22,MATCH('Utility Sector'!$E$66,$G$4:$AF$4)),0)</f>
        <v>20684114.345187418</v>
      </c>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234"/>
    </row>
    <row r="134" spans="3:33" x14ac:dyDescent="0.25">
      <c r="C134" s="173"/>
      <c r="D134" s="174"/>
      <c r="E134" s="174" t="s">
        <v>158</v>
      </c>
      <c r="F134" s="203" t="s">
        <v>79</v>
      </c>
      <c r="G134" s="319">
        <f>IF('Utility Sector'!$E$66&gt;0,INDEX($G$3:$AF$25,23,MATCH('Utility Sector'!$E$66,$G$4:$AF$4)),0)</f>
        <v>19768555.011121999</v>
      </c>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234"/>
    </row>
    <row r="135" spans="3:33" x14ac:dyDescent="0.25">
      <c r="C135" s="173"/>
      <c r="D135" s="174"/>
      <c r="E135" s="174" t="s">
        <v>159</v>
      </c>
      <c r="F135" s="203" t="s">
        <v>160</v>
      </c>
      <c r="G135" s="174">
        <f>(COUNT($G$25:$AF$25)-COUNTIFS($G$25:$AF$25,"&gt;"&amp;G133))</f>
        <v>26</v>
      </c>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234"/>
    </row>
    <row r="136" spans="3:33" x14ac:dyDescent="0.25">
      <c r="C136" s="173"/>
      <c r="D136" s="174"/>
      <c r="E136" s="174" t="s">
        <v>161</v>
      </c>
      <c r="F136" s="203" t="s">
        <v>31</v>
      </c>
      <c r="G136" s="174">
        <f>G135-'Utility Sector'!$E$66</f>
        <v>3</v>
      </c>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234"/>
    </row>
    <row r="137" spans="3:33" x14ac:dyDescent="0.25">
      <c r="C137" s="173"/>
      <c r="D137" s="174"/>
      <c r="E137" s="174" t="s">
        <v>162</v>
      </c>
      <c r="F137" s="203" t="s">
        <v>97</v>
      </c>
      <c r="G137" s="174">
        <f>0-G136</f>
        <v>-3</v>
      </c>
      <c r="H137" s="174">
        <f>G137+1</f>
        <v>-2</v>
      </c>
      <c r="I137" s="174">
        <f t="shared" ref="I137:Y137" si="28">H137+1</f>
        <v>-1</v>
      </c>
      <c r="J137" s="174">
        <f t="shared" si="28"/>
        <v>0</v>
      </c>
      <c r="K137" s="174">
        <f t="shared" si="28"/>
        <v>1</v>
      </c>
      <c r="L137" s="174">
        <f t="shared" si="28"/>
        <v>2</v>
      </c>
      <c r="M137" s="174">
        <f t="shared" si="28"/>
        <v>3</v>
      </c>
      <c r="N137" s="174">
        <f t="shared" si="28"/>
        <v>4</v>
      </c>
      <c r="O137" s="174">
        <f t="shared" si="28"/>
        <v>5</v>
      </c>
      <c r="P137" s="174">
        <f t="shared" si="28"/>
        <v>6</v>
      </c>
      <c r="Q137" s="174">
        <f t="shared" si="28"/>
        <v>7</v>
      </c>
      <c r="R137" s="174">
        <f t="shared" si="28"/>
        <v>8</v>
      </c>
      <c r="S137" s="174">
        <f t="shared" si="28"/>
        <v>9</v>
      </c>
      <c r="T137" s="174">
        <f t="shared" si="28"/>
        <v>10</v>
      </c>
      <c r="U137" s="174">
        <f t="shared" si="28"/>
        <v>11</v>
      </c>
      <c r="V137" s="174">
        <f t="shared" si="28"/>
        <v>12</v>
      </c>
      <c r="W137" s="174">
        <f t="shared" si="28"/>
        <v>13</v>
      </c>
      <c r="X137" s="174">
        <f t="shared" si="28"/>
        <v>14</v>
      </c>
      <c r="Y137" s="174">
        <f t="shared" si="28"/>
        <v>15</v>
      </c>
      <c r="Z137" s="174">
        <f>Y137+1</f>
        <v>16</v>
      </c>
      <c r="AA137" s="174">
        <f t="shared" ref="AA137:AF137" si="29">Z137+1</f>
        <v>17</v>
      </c>
      <c r="AB137" s="174">
        <f t="shared" si="29"/>
        <v>18</v>
      </c>
      <c r="AC137" s="174">
        <f t="shared" si="29"/>
        <v>19</v>
      </c>
      <c r="AD137" s="174">
        <f t="shared" si="29"/>
        <v>20</v>
      </c>
      <c r="AE137" s="174">
        <f t="shared" si="29"/>
        <v>21</v>
      </c>
      <c r="AF137" s="174">
        <f t="shared" si="29"/>
        <v>22</v>
      </c>
      <c r="AG137" s="234"/>
    </row>
    <row r="138" spans="3:33" x14ac:dyDescent="0.25">
      <c r="C138" s="173"/>
      <c r="D138" s="174"/>
      <c r="E138" s="174" t="s">
        <v>163</v>
      </c>
      <c r="F138" s="203" t="s">
        <v>18</v>
      </c>
      <c r="G138" s="342">
        <f>IF((G4-$G$136)&gt;=0,INDEX('Utility Sector'!$I$66:$AH$67,2,MATCH(G137,'Utility Sector'!$I$66:$AH$66,0)),0)</f>
        <v>0</v>
      </c>
      <c r="H138" s="342">
        <f>IF((H4-$G$136)&gt;=0,INDEX('Utility Sector'!$I$66:$AH$67,2,MATCH(H137,'Utility Sector'!$I$66:$AH$66,0)),0)</f>
        <v>0</v>
      </c>
      <c r="I138" s="342">
        <f>IF((I4-$G$136)&gt;=0,INDEX('Utility Sector'!$I$66:$AH$67,2,MATCH(I137,'Utility Sector'!$I$66:$AH$66,0)),0)</f>
        <v>0</v>
      </c>
      <c r="J138" s="342">
        <f>IF((J4-$G$136)&gt;=0,INDEX('Utility Sector'!$I$66:$AH$67,2,MATCH(J137,'Utility Sector'!$I$66:$AH$66,0)),0)</f>
        <v>0</v>
      </c>
      <c r="K138" s="342">
        <f>IF((K4-$G$136)&gt;=0,INDEX('Utility Sector'!$I$66:$AH$67,2,MATCH(K137,'Utility Sector'!$I$66:$AH$66,0)),0)</f>
        <v>0</v>
      </c>
      <c r="L138" s="342">
        <f>IF((L4-$G$136)&gt;=0,INDEX('Utility Sector'!$I$66:$AH$67,2,MATCH(L137,'Utility Sector'!$I$66:$AH$66,0)),0)</f>
        <v>0</v>
      </c>
      <c r="M138" s="342">
        <f>IF((M4-$G$136)&gt;=0,INDEX('Utility Sector'!$I$66:$AH$67,2,MATCH(M137,'Utility Sector'!$I$66:$AH$66,0)),0)</f>
        <v>0</v>
      </c>
      <c r="N138" s="342">
        <f>IF((N4-$G$136)&gt;=0,INDEX('Utility Sector'!$I$66:$AH$67,2,MATCH(N137,'Utility Sector'!$I$66:$AH$66,0)),0)</f>
        <v>0</v>
      </c>
      <c r="O138" s="342">
        <f>IF((O4-$G$136)&gt;=0,INDEX('Utility Sector'!$I$66:$AH$67,2,MATCH(O137,'Utility Sector'!$I$66:$AH$66,0)),0)</f>
        <v>0</v>
      </c>
      <c r="P138" s="342">
        <f>IF((P4-$G$136)&gt;=0,INDEX('Utility Sector'!$I$66:$AH$67,2,MATCH(P137,'Utility Sector'!$I$66:$AH$66,0)),0)</f>
        <v>0</v>
      </c>
      <c r="Q138" s="342">
        <f>IF((Q4-$G$136)&gt;=0,INDEX('Utility Sector'!$I$66:$AH$67,2,MATCH(Q137,'Utility Sector'!$I$66:$AH$66,0)),0)</f>
        <v>0</v>
      </c>
      <c r="R138" s="342">
        <f>IF((R4-$G$136)&gt;=0,INDEX('Utility Sector'!$I$66:$AH$67,2,MATCH(R137,'Utility Sector'!$I$66:$AH$66,0)),0)</f>
        <v>0</v>
      </c>
      <c r="S138" s="342">
        <f>IF((S4-$G$136)&gt;=0,INDEX('Utility Sector'!$I$66:$AH$67,2,MATCH(S137,'Utility Sector'!$I$66:$AH$66,0)),0)</f>
        <v>0</v>
      </c>
      <c r="T138" s="342">
        <f>IF((T4-$G$136)&gt;=0,INDEX('Utility Sector'!$I$66:$AH$67,2,MATCH(T137,'Utility Sector'!$I$66:$AH$66,0)),0)</f>
        <v>0</v>
      </c>
      <c r="U138" s="342">
        <f>IF((U4-$G$136)&gt;=0,INDEX('Utility Sector'!$I$66:$AH$67,2,MATCH(U137,'Utility Sector'!$I$66:$AH$66,0)),0)</f>
        <v>0</v>
      </c>
      <c r="V138" s="342">
        <f>IF((V4-$G$136)&gt;=0,INDEX('Utility Sector'!$I$66:$AH$67,2,MATCH(V137,'Utility Sector'!$I$66:$AH$66,0)),0)</f>
        <v>0</v>
      </c>
      <c r="W138" s="342">
        <f>IF((W4-$G$136)&gt;=0,INDEX('Utility Sector'!$I$66:$AH$67,2,MATCH(W137,'Utility Sector'!$I$66:$AH$66,0)),0)</f>
        <v>0</v>
      </c>
      <c r="X138" s="342">
        <f>IF((X4-$G$136)&gt;=0,INDEX('Utility Sector'!$I$66:$AH$67,2,MATCH(X137,'Utility Sector'!$I$66:$AH$66,0)),0)</f>
        <v>0</v>
      </c>
      <c r="Y138" s="342">
        <f>IF((Y4-$G$136)&gt;=0,INDEX('Utility Sector'!$I$66:$AH$67,2,MATCH(Y137,'Utility Sector'!$I$66:$AH$66,0)),0)</f>
        <v>0</v>
      </c>
      <c r="Z138" s="342">
        <f>IF((Z4-$G$136)&gt;=0,INDEX('Utility Sector'!$I$66:$AH$67,2,MATCH(Z137,'Utility Sector'!$I$66:$AH$66,0)),0)</f>
        <v>0</v>
      </c>
      <c r="AA138" s="342">
        <f>IF((AA4-$G$136)&gt;=0,INDEX('Utility Sector'!$I$66:$AH$67,2,MATCH(AA137,'Utility Sector'!$I$66:$AH$66,0)),0)</f>
        <v>0</v>
      </c>
      <c r="AB138" s="342">
        <f>IF((AB4-$G$136)&gt;=0,INDEX('Utility Sector'!$I$66:$AH$67,2,MATCH(AB137,'Utility Sector'!$I$66:$AH$66,0)),0)</f>
        <v>0</v>
      </c>
      <c r="AC138" s="342">
        <f>IF((AC4-$G$136)&gt;=0,INDEX('Utility Sector'!$I$66:$AH$67,2,MATCH(AC137,'Utility Sector'!$I$66:$AH$66,0)),0)</f>
        <v>0</v>
      </c>
      <c r="AD138" s="342">
        <f>IF((AD4-$G$136)&gt;=0,INDEX('Utility Sector'!$I$66:$AH$67,2,MATCH(AD137,'Utility Sector'!$I$66:$AH$66,0)),0)</f>
        <v>0</v>
      </c>
      <c r="AE138" s="342">
        <f>IF((AE4-$G$136)&gt;=0,INDEX('Utility Sector'!$I$66:$AH$67,2,MATCH(AE137,'Utility Sector'!$I$66:$AH$66,0)),0)</f>
        <v>0</v>
      </c>
      <c r="AF138" s="342">
        <f>IF((AF4-$G$136)&gt;=0,INDEX('Utility Sector'!$I$66:$AH$67,2,MATCH(AF137,'Utility Sector'!$I$66:$AH$66,0)),0)</f>
        <v>0</v>
      </c>
      <c r="AG138" s="234"/>
    </row>
    <row r="139" spans="3:33" x14ac:dyDescent="0.25">
      <c r="C139" s="171" t="s">
        <v>166</v>
      </c>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234"/>
    </row>
    <row r="140" spans="3:33" x14ac:dyDescent="0.25">
      <c r="C140" s="171"/>
      <c r="D140" s="172"/>
      <c r="E140" s="172" t="s">
        <v>3</v>
      </c>
      <c r="F140" s="172" t="str">
        <f>'Utility Sector'!E70</f>
        <v>Plant D</v>
      </c>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234"/>
    </row>
    <row r="141" spans="3:33" x14ac:dyDescent="0.25">
      <c r="C141" s="173"/>
      <c r="D141" s="174"/>
      <c r="E141" s="174" t="s">
        <v>157</v>
      </c>
      <c r="F141" s="203" t="s">
        <v>79</v>
      </c>
      <c r="G141" s="175">
        <f>IF('Utility Sector'!$E$71&gt;0,INDEX($G$3:$AF$25,22,MATCH('Utility Sector'!$E$71,$G$4:$AF$4)),0)</f>
        <v>0</v>
      </c>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234"/>
    </row>
    <row r="142" spans="3:33" x14ac:dyDescent="0.25">
      <c r="C142" s="173"/>
      <c r="D142" s="174"/>
      <c r="E142" s="174" t="s">
        <v>158</v>
      </c>
      <c r="F142" s="203" t="s">
        <v>79</v>
      </c>
      <c r="G142" s="175">
        <f>IF('Utility Sector'!$E$71&gt;0,INDEX($G$3:$AF$25,23,MATCH('Utility Sector'!$E$71,$G$4:$AF$4)),0)</f>
        <v>0</v>
      </c>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234"/>
    </row>
    <row r="143" spans="3:33" x14ac:dyDescent="0.25">
      <c r="C143" s="173"/>
      <c r="D143" s="174"/>
      <c r="E143" s="174" t="s">
        <v>159</v>
      </c>
      <c r="F143" s="203" t="s">
        <v>160</v>
      </c>
      <c r="G143" s="174">
        <f>(COUNT($G$14:$AF$14)-COUNTIFS($G$14:$AF$14,"&gt;"&amp;G141))</f>
        <v>0</v>
      </c>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234"/>
    </row>
    <row r="144" spans="3:33" x14ac:dyDescent="0.25">
      <c r="C144" s="173"/>
      <c r="D144" s="174"/>
      <c r="E144" s="174" t="s">
        <v>161</v>
      </c>
      <c r="F144" s="203" t="s">
        <v>31</v>
      </c>
      <c r="G144" s="174">
        <f>G143-'Utility Sector'!$E$71</f>
        <v>0</v>
      </c>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234"/>
    </row>
    <row r="145" spans="3:33" x14ac:dyDescent="0.25">
      <c r="C145" s="173"/>
      <c r="D145" s="174"/>
      <c r="E145" s="174" t="s">
        <v>162</v>
      </c>
      <c r="F145" s="203" t="s">
        <v>97</v>
      </c>
      <c r="G145" s="174">
        <f>0-G144</f>
        <v>0</v>
      </c>
      <c r="H145" s="174">
        <f>G145+1</f>
        <v>1</v>
      </c>
      <c r="I145" s="174">
        <f t="shared" ref="I145:Y145" si="30">H145+1</f>
        <v>2</v>
      </c>
      <c r="J145" s="174">
        <f t="shared" si="30"/>
        <v>3</v>
      </c>
      <c r="K145" s="174">
        <f t="shared" si="30"/>
        <v>4</v>
      </c>
      <c r="L145" s="174">
        <f t="shared" si="30"/>
        <v>5</v>
      </c>
      <c r="M145" s="174">
        <f t="shared" si="30"/>
        <v>6</v>
      </c>
      <c r="N145" s="174">
        <f t="shared" si="30"/>
        <v>7</v>
      </c>
      <c r="O145" s="174">
        <f t="shared" si="30"/>
        <v>8</v>
      </c>
      <c r="P145" s="174">
        <f t="shared" si="30"/>
        <v>9</v>
      </c>
      <c r="Q145" s="174">
        <f t="shared" si="30"/>
        <v>10</v>
      </c>
      <c r="R145" s="174">
        <f t="shared" si="30"/>
        <v>11</v>
      </c>
      <c r="S145" s="174">
        <f t="shared" si="30"/>
        <v>12</v>
      </c>
      <c r="T145" s="174">
        <f t="shared" si="30"/>
        <v>13</v>
      </c>
      <c r="U145" s="174">
        <f t="shared" si="30"/>
        <v>14</v>
      </c>
      <c r="V145" s="174">
        <f t="shared" si="30"/>
        <v>15</v>
      </c>
      <c r="W145" s="174">
        <f t="shared" si="30"/>
        <v>16</v>
      </c>
      <c r="X145" s="174">
        <f t="shared" si="30"/>
        <v>17</v>
      </c>
      <c r="Y145" s="174">
        <f t="shared" si="30"/>
        <v>18</v>
      </c>
      <c r="Z145" s="174">
        <f>Y145+1</f>
        <v>19</v>
      </c>
      <c r="AA145" s="174">
        <f t="shared" ref="AA145:AF145" si="31">Z145+1</f>
        <v>20</v>
      </c>
      <c r="AB145" s="174">
        <f t="shared" si="31"/>
        <v>21</v>
      </c>
      <c r="AC145" s="174">
        <f t="shared" si="31"/>
        <v>22</v>
      </c>
      <c r="AD145" s="174">
        <f t="shared" si="31"/>
        <v>23</v>
      </c>
      <c r="AE145" s="174">
        <f t="shared" si="31"/>
        <v>24</v>
      </c>
      <c r="AF145" s="174">
        <f t="shared" si="31"/>
        <v>25</v>
      </c>
      <c r="AG145" s="235"/>
    </row>
    <row r="146" spans="3:33" x14ac:dyDescent="0.25">
      <c r="C146" s="173"/>
      <c r="D146" s="174"/>
      <c r="E146" s="174" t="s">
        <v>163</v>
      </c>
      <c r="F146" s="203" t="s">
        <v>18</v>
      </c>
      <c r="G146" s="342">
        <f>IF((G4-$G$144)&gt;=0,INDEX('Utility Sector'!$I$71:$AH$72,2,MATCH(G145,'Utility Sector'!$I$71:$AH$71,0)),0)</f>
        <v>0</v>
      </c>
      <c r="H146" s="342">
        <f>IF((H4-$G$144)&gt;=0,INDEX('Utility Sector'!$I$71:$AH$72,2,MATCH(H145,'Utility Sector'!$I$71:$AH$71,0)),0)</f>
        <v>0</v>
      </c>
      <c r="I146" s="342">
        <f>IF((I4-$G$144)&gt;=0,INDEX('Utility Sector'!$I$71:$AH$72,2,MATCH(I145,'Utility Sector'!$I$71:$AH$71,0)),0)</f>
        <v>0</v>
      </c>
      <c r="J146" s="342">
        <f>IF((J4-$G$144)&gt;=0,INDEX('Utility Sector'!$I$71:$AH$72,2,MATCH(J145,'Utility Sector'!$I$71:$AH$71,0)),0)</f>
        <v>0</v>
      </c>
      <c r="K146" s="342">
        <f>IF((K4-$G$144)&gt;=0,INDEX('Utility Sector'!$I$71:$AH$72,2,MATCH(K145,'Utility Sector'!$I$71:$AH$71,0)),0)</f>
        <v>0</v>
      </c>
      <c r="L146" s="342">
        <f>IF((L4-$G$144)&gt;=0,INDEX('Utility Sector'!$I$71:$AH$72,2,MATCH(L145,'Utility Sector'!$I$71:$AH$71,0)),0)</f>
        <v>0</v>
      </c>
      <c r="M146" s="342">
        <f>IF((M4-$G$144)&gt;=0,INDEX('Utility Sector'!$I$71:$AH$72,2,MATCH(M145,'Utility Sector'!$I$71:$AH$71,0)),0)</f>
        <v>0</v>
      </c>
      <c r="N146" s="342">
        <f>IF((N4-$G$144)&gt;=0,INDEX('Utility Sector'!$I$71:$AH$72,2,MATCH(N145,'Utility Sector'!$I$71:$AH$71,0)),0)</f>
        <v>0</v>
      </c>
      <c r="O146" s="342">
        <f>IF((O4-$G$144)&gt;=0,INDEX('Utility Sector'!$I$71:$AH$72,2,MATCH(O145,'Utility Sector'!$I$71:$AH$71,0)),0)</f>
        <v>0</v>
      </c>
      <c r="P146" s="342">
        <f>IF((P4-$G$144)&gt;=0,INDEX('Utility Sector'!$I$71:$AH$72,2,MATCH(P145,'Utility Sector'!$I$71:$AH$71,0)),0)</f>
        <v>0</v>
      </c>
      <c r="Q146" s="342">
        <f>IF((Q4-$G$144)&gt;=0,INDEX('Utility Sector'!$I$71:$AH$72,2,MATCH(Q145,'Utility Sector'!$I$71:$AH$71,0)),0)</f>
        <v>0</v>
      </c>
      <c r="R146" s="342">
        <f>IF((R4-$G$144)&gt;=0,INDEX('Utility Sector'!$I$71:$AH$72,2,MATCH(R145,'Utility Sector'!$I$71:$AH$71,0)),0)</f>
        <v>0</v>
      </c>
      <c r="S146" s="342">
        <f>IF((S4-$G$144)&gt;=0,INDEX('Utility Sector'!$I$71:$AH$72,2,MATCH(S145,'Utility Sector'!$I$71:$AH$71,0)),0)</f>
        <v>0</v>
      </c>
      <c r="T146" s="342">
        <f>IF((T4-$G$144)&gt;=0,INDEX('Utility Sector'!$I$71:$AH$72,2,MATCH(T145,'Utility Sector'!$I$71:$AH$71,0)),0)</f>
        <v>0</v>
      </c>
      <c r="U146" s="342">
        <f>IF((U4-$G$144)&gt;=0,INDEX('Utility Sector'!$I$71:$AH$72,2,MATCH(U145,'Utility Sector'!$I$71:$AH$71,0)),0)</f>
        <v>0</v>
      </c>
      <c r="V146" s="342">
        <f>IF((V4-$G$144)&gt;=0,INDEX('Utility Sector'!$I$71:$AH$72,2,MATCH(V145,'Utility Sector'!$I$71:$AH$71,0)),0)</f>
        <v>0</v>
      </c>
      <c r="W146" s="342">
        <f>IF((W4-$G$144)&gt;=0,INDEX('Utility Sector'!$I$71:$AH$72,2,MATCH(W145,'Utility Sector'!$I$71:$AH$71,0)),0)</f>
        <v>0</v>
      </c>
      <c r="X146" s="342">
        <f>IF((X4-$G$144)&gt;=0,INDEX('Utility Sector'!$I$71:$AH$72,2,MATCH(X145,'Utility Sector'!$I$71:$AH$71,0)),0)</f>
        <v>0</v>
      </c>
      <c r="Y146" s="342">
        <f>IF((Y4-$G$144)&gt;=0,INDEX('Utility Sector'!$I$71:$AH$72,2,MATCH(Y145,'Utility Sector'!$I$71:$AH$71,0)),0)</f>
        <v>0</v>
      </c>
      <c r="Z146" s="342">
        <f>IF((Z4-$G$144)&gt;=0,INDEX('Utility Sector'!$I$71:$AH$72,2,MATCH(Z145,'Utility Sector'!$I$71:$AH$71,0)),0)</f>
        <v>0</v>
      </c>
      <c r="AA146" s="342">
        <f>IF((AA4-$G$144)&gt;=0,INDEX('Utility Sector'!$I$71:$AH$72,2,MATCH(AA145,'Utility Sector'!$I$71:$AH$71,0)),0)</f>
        <v>0</v>
      </c>
      <c r="AB146" s="342">
        <f>IF((AB4-$G$144)&gt;=0,INDEX('Utility Sector'!$I$71:$AH$72,2,MATCH(AB145,'Utility Sector'!$I$71:$AH$71,0)),0)</f>
        <v>0</v>
      </c>
      <c r="AC146" s="342">
        <f>IF((AC4-$G$144)&gt;=0,INDEX('Utility Sector'!$I$71:$AH$72,2,MATCH(AC145,'Utility Sector'!$I$71:$AH$71,0)),0)</f>
        <v>0</v>
      </c>
      <c r="AD146" s="342">
        <f>IF((AD4-$G$144)&gt;=0,INDEX('Utility Sector'!$I$71:$AH$72,2,MATCH(AD145,'Utility Sector'!$I$71:$AH$71,0)),0)</f>
        <v>0</v>
      </c>
      <c r="AE146" s="342">
        <f>IF((AE4-$G$144)&gt;=0,INDEX('Utility Sector'!$I$71:$AH$72,2,MATCH(AE145,'Utility Sector'!$I$71:$AH$71,0)),0)</f>
        <v>0</v>
      </c>
      <c r="AF146" s="342">
        <f>IF((AF4-$G$144)&gt;=0,INDEX('Utility Sector'!$I$71:$AH$72,2,MATCH(AF145,'Utility Sector'!$I$71:$AH$71,0)),0)</f>
        <v>0</v>
      </c>
    </row>
    <row r="147" spans="3:33" x14ac:dyDescent="0.25">
      <c r="C147" s="171" t="s">
        <v>167</v>
      </c>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row>
    <row r="148" spans="3:33" x14ac:dyDescent="0.25">
      <c r="C148" s="171"/>
      <c r="D148" s="172"/>
      <c r="E148" s="172" t="s">
        <v>3</v>
      </c>
      <c r="F148" s="172" t="str">
        <f>'Utility Sector'!E75</f>
        <v>Plant E</v>
      </c>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row>
    <row r="149" spans="3:33" x14ac:dyDescent="0.25">
      <c r="C149" s="173"/>
      <c r="D149" s="174"/>
      <c r="E149" s="174" t="s">
        <v>157</v>
      </c>
      <c r="F149" s="203" t="s">
        <v>79</v>
      </c>
      <c r="G149" s="175">
        <f>IF('Utility Sector'!$E$76&gt;0,INDEX($G$3:$AF$25,22,MATCH('Utility Sector'!$E$76,$G$4:$AF$4)),0)</f>
        <v>0</v>
      </c>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row>
    <row r="150" spans="3:33" x14ac:dyDescent="0.25">
      <c r="C150" s="173"/>
      <c r="D150" s="174"/>
      <c r="E150" s="174" t="s">
        <v>158</v>
      </c>
      <c r="F150" s="203" t="s">
        <v>79</v>
      </c>
      <c r="G150" s="175">
        <f>IF('Utility Sector'!$E$76&gt;0,INDEX($G$3:$AF$25,23,MATCH('Utility Sector'!$E$76,$G$4:$AF$4)),0)</f>
        <v>0</v>
      </c>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row>
    <row r="151" spans="3:33" x14ac:dyDescent="0.25">
      <c r="C151" s="173"/>
      <c r="D151" s="174"/>
      <c r="E151" s="174" t="s">
        <v>159</v>
      </c>
      <c r="F151" s="203" t="s">
        <v>160</v>
      </c>
      <c r="G151" s="174">
        <f>(COUNT($G$14:$AF$14)-COUNTIFS($G$14:$AF$14,"&gt;"&amp;G149))</f>
        <v>0</v>
      </c>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row>
    <row r="152" spans="3:33" x14ac:dyDescent="0.25">
      <c r="C152" s="173"/>
      <c r="D152" s="174"/>
      <c r="E152" s="174" t="s">
        <v>161</v>
      </c>
      <c r="F152" s="203" t="s">
        <v>31</v>
      </c>
      <c r="G152" s="174">
        <f>G151-'Utility Sector'!$E$76</f>
        <v>0</v>
      </c>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row>
    <row r="153" spans="3:33" x14ac:dyDescent="0.25">
      <c r="C153" s="173"/>
      <c r="D153" s="174"/>
      <c r="E153" s="174" t="s">
        <v>162</v>
      </c>
      <c r="F153" s="203" t="s">
        <v>97</v>
      </c>
      <c r="G153" s="174">
        <f>0-G152</f>
        <v>0</v>
      </c>
      <c r="H153" s="174">
        <f>G153+1</f>
        <v>1</v>
      </c>
      <c r="I153" s="174">
        <f t="shared" ref="I153:Y153" si="32">H153+1</f>
        <v>2</v>
      </c>
      <c r="J153" s="174">
        <f t="shared" si="32"/>
        <v>3</v>
      </c>
      <c r="K153" s="174">
        <f t="shared" si="32"/>
        <v>4</v>
      </c>
      <c r="L153" s="174">
        <f t="shared" si="32"/>
        <v>5</v>
      </c>
      <c r="M153" s="174">
        <f t="shared" si="32"/>
        <v>6</v>
      </c>
      <c r="N153" s="174">
        <f t="shared" si="32"/>
        <v>7</v>
      </c>
      <c r="O153" s="174">
        <f t="shared" si="32"/>
        <v>8</v>
      </c>
      <c r="P153" s="174">
        <f t="shared" si="32"/>
        <v>9</v>
      </c>
      <c r="Q153" s="174">
        <f t="shared" si="32"/>
        <v>10</v>
      </c>
      <c r="R153" s="174">
        <f t="shared" si="32"/>
        <v>11</v>
      </c>
      <c r="S153" s="174">
        <f t="shared" si="32"/>
        <v>12</v>
      </c>
      <c r="T153" s="174">
        <f t="shared" si="32"/>
        <v>13</v>
      </c>
      <c r="U153" s="174">
        <f t="shared" si="32"/>
        <v>14</v>
      </c>
      <c r="V153" s="174">
        <f t="shared" si="32"/>
        <v>15</v>
      </c>
      <c r="W153" s="174">
        <f t="shared" si="32"/>
        <v>16</v>
      </c>
      <c r="X153" s="174">
        <f t="shared" si="32"/>
        <v>17</v>
      </c>
      <c r="Y153" s="174">
        <f t="shared" si="32"/>
        <v>18</v>
      </c>
      <c r="Z153" s="174">
        <f>Y153+1</f>
        <v>19</v>
      </c>
      <c r="AA153" s="174">
        <f t="shared" ref="AA153:AF153" si="33">Z153+1</f>
        <v>20</v>
      </c>
      <c r="AB153" s="174">
        <f t="shared" si="33"/>
        <v>21</v>
      </c>
      <c r="AC153" s="174">
        <f t="shared" si="33"/>
        <v>22</v>
      </c>
      <c r="AD153" s="174">
        <f t="shared" si="33"/>
        <v>23</v>
      </c>
      <c r="AE153" s="174">
        <f t="shared" si="33"/>
        <v>24</v>
      </c>
      <c r="AF153" s="174">
        <f t="shared" si="33"/>
        <v>25</v>
      </c>
    </row>
    <row r="154" spans="3:33" x14ac:dyDescent="0.25">
      <c r="C154" s="177"/>
      <c r="D154" s="178"/>
      <c r="E154" s="178" t="s">
        <v>163</v>
      </c>
      <c r="F154" s="204" t="s">
        <v>18</v>
      </c>
      <c r="G154" s="343">
        <f>IF((G4-$G$152)&gt;=0,INDEX('Utility Sector'!$I$76:$AH$77,2,MATCH(G153,'Utility Sector'!$I$76:$AH$76,0)),0)</f>
        <v>0</v>
      </c>
      <c r="H154" s="343">
        <f>IF((H4-$G$152)&gt;=0,INDEX('Utility Sector'!$I$76:$AH$77,2,MATCH(H153,'Utility Sector'!$I$76:$AH$76,0)),0)</f>
        <v>0</v>
      </c>
      <c r="I154" s="343">
        <f>IF((I4-$G$152)&gt;=0,INDEX('Utility Sector'!$I$76:$AH$77,2,MATCH(I153,'Utility Sector'!$I$76:$AH$76,0)),0)</f>
        <v>0</v>
      </c>
      <c r="J154" s="343">
        <f>IF((J4-$G$152)&gt;=0,INDEX('Utility Sector'!$I$76:$AH$77,2,MATCH(J153,'Utility Sector'!$I$76:$AH$76,0)),0)</f>
        <v>0</v>
      </c>
      <c r="K154" s="343">
        <f>IF((K4-$G$152)&gt;=0,INDEX('Utility Sector'!$I$76:$AH$77,2,MATCH(K153,'Utility Sector'!$I$76:$AH$76,0)),0)</f>
        <v>0</v>
      </c>
      <c r="L154" s="343">
        <f>IF((L4-$G$152)&gt;=0,INDEX('Utility Sector'!$I$76:$AH$77,2,MATCH(L153,'Utility Sector'!$I$76:$AH$76,0)),0)</f>
        <v>0</v>
      </c>
      <c r="M154" s="343">
        <f>IF((M4-$G$152)&gt;=0,INDEX('Utility Sector'!$I$76:$AH$77,2,MATCH(M153,'Utility Sector'!$I$76:$AH$76,0)),0)</f>
        <v>0</v>
      </c>
      <c r="N154" s="343">
        <f>IF((N4-$G$152)&gt;=0,INDEX('Utility Sector'!$I$76:$AH$77,2,MATCH(N153,'Utility Sector'!$I$76:$AH$76,0)),0)</f>
        <v>0</v>
      </c>
      <c r="O154" s="343">
        <f>IF((O4-$G$152)&gt;=0,INDEX('Utility Sector'!$I$76:$AH$77,2,MATCH(O153,'Utility Sector'!$I$76:$AH$76,0)),0)</f>
        <v>0</v>
      </c>
      <c r="P154" s="343">
        <f>IF((P4-$G$152)&gt;=0,INDEX('Utility Sector'!$I$76:$AH$77,2,MATCH(P153,'Utility Sector'!$I$76:$AH$76,0)),0)</f>
        <v>0</v>
      </c>
      <c r="Q154" s="343">
        <f>IF((Q4-$G$152)&gt;=0,INDEX('Utility Sector'!$I$76:$AH$77,2,MATCH(Q153,'Utility Sector'!$I$76:$AH$76,0)),0)</f>
        <v>0</v>
      </c>
      <c r="R154" s="343">
        <f>IF((R4-$G$152)&gt;=0,INDEX('Utility Sector'!$I$76:$AH$77,2,MATCH(R153,'Utility Sector'!$I$76:$AH$76,0)),0)</f>
        <v>0</v>
      </c>
      <c r="S154" s="343">
        <f>IF((S4-$G$152)&gt;=0,INDEX('Utility Sector'!$I$76:$AH$77,2,MATCH(S153,'Utility Sector'!$I$76:$AH$76,0)),0)</f>
        <v>0</v>
      </c>
      <c r="T154" s="343">
        <f>IF((T4-$G$152)&gt;=0,INDEX('Utility Sector'!$I$76:$AH$77,2,MATCH(T153,'Utility Sector'!$I$76:$AH$76,0)),0)</f>
        <v>0</v>
      </c>
      <c r="U154" s="343">
        <f>IF((U4-$G$152)&gt;=0,INDEX('Utility Sector'!$I$76:$AH$77,2,MATCH(U153,'Utility Sector'!$I$76:$AH$76,0)),0)</f>
        <v>0</v>
      </c>
      <c r="V154" s="343">
        <f>IF((V4-$G$152)&gt;=0,INDEX('Utility Sector'!$I$76:$AH$77,2,MATCH(V153,'Utility Sector'!$I$76:$AH$76,0)),0)</f>
        <v>0</v>
      </c>
      <c r="W154" s="343">
        <f>IF((W4-$G$152)&gt;=0,INDEX('Utility Sector'!$I$76:$AH$77,2,MATCH(W153,'Utility Sector'!$I$76:$AH$76,0)),0)</f>
        <v>0</v>
      </c>
      <c r="X154" s="343">
        <f>IF((X4-$G$152)&gt;=0,INDEX('Utility Sector'!$I$76:$AH$77,2,MATCH(X153,'Utility Sector'!$I$76:$AH$76,0)),0)</f>
        <v>0</v>
      </c>
      <c r="Y154" s="343">
        <f>IF((Y4-$G$152)&gt;=0,INDEX('Utility Sector'!$I$76:$AH$77,2,MATCH(Y153,'Utility Sector'!$I$76:$AH$76,0)),0)</f>
        <v>0</v>
      </c>
      <c r="Z154" s="343">
        <f>IF((Z4-$G$152)&gt;=0,INDEX('Utility Sector'!$I$76:$AH$77,2,MATCH(Z153,'Utility Sector'!$I$76:$AH$76,0)),0)</f>
        <v>0</v>
      </c>
      <c r="AA154" s="343">
        <f>IF((AA4-$G$152)&gt;=0,INDEX('Utility Sector'!$I$76:$AH$77,2,MATCH(AA153,'Utility Sector'!$I$76:$AH$76,0)),0)</f>
        <v>0</v>
      </c>
      <c r="AB154" s="343">
        <f>IF((AB4-$G$152)&gt;=0,INDEX('Utility Sector'!$I$76:$AH$77,2,MATCH(AB153,'Utility Sector'!$I$76:$AH$76,0)),0)</f>
        <v>0</v>
      </c>
      <c r="AC154" s="343">
        <f>IF((AC4-$G$152)&gt;=0,INDEX('Utility Sector'!$I$76:$AH$77,2,MATCH(AC153,'Utility Sector'!$I$76:$AH$76,0)),0)</f>
        <v>0</v>
      </c>
      <c r="AD154" s="343">
        <f>IF((AD4-$G$152)&gt;=0,INDEX('Utility Sector'!$I$76:$AH$77,2,MATCH(AD153,'Utility Sector'!$I$76:$AH$76,0)),0)</f>
        <v>0</v>
      </c>
      <c r="AE154" s="343">
        <f>IF((AE4-$G$152)&gt;=0,INDEX('Utility Sector'!$I$76:$AH$77,2,MATCH(AE153,'Utility Sector'!$I$76:$AH$76,0)),0)</f>
        <v>0</v>
      </c>
      <c r="AF154" s="343">
        <f>IF((AF4-$G$152)&gt;=0,INDEX('Utility Sector'!$I$76:$AH$77,2,MATCH(AF153,'Utility Sector'!$I$76:$AH$76,0)),0)</f>
        <v>0</v>
      </c>
    </row>
    <row r="155" spans="3:33" x14ac:dyDescent="0.25">
      <c r="C155" s="31" t="s">
        <v>170</v>
      </c>
      <c r="D155" s="32"/>
      <c r="E155" s="32"/>
      <c r="F155" s="32"/>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7"/>
    </row>
    <row r="156" spans="3:33" x14ac:dyDescent="0.25">
      <c r="C156" s="10"/>
      <c r="D156" s="11" t="s">
        <v>370</v>
      </c>
      <c r="E156" s="11"/>
      <c r="F156" s="11"/>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3"/>
    </row>
    <row r="157" spans="3:33" x14ac:dyDescent="0.25">
      <c r="C157" s="10"/>
      <c r="D157" s="11"/>
      <c r="E157" s="174" t="s">
        <v>171</v>
      </c>
      <c r="F157" s="172" t="str">
        <f>F116</f>
        <v>Plant A</v>
      </c>
      <c r="G157" s="37">
        <f t="shared" ref="G157:AF157" si="34">IFERROR(G122,0)</f>
        <v>0</v>
      </c>
      <c r="H157" s="37">
        <f t="shared" si="34"/>
        <v>0</v>
      </c>
      <c r="I157" s="37">
        <f t="shared" si="34"/>
        <v>0</v>
      </c>
      <c r="J157" s="37">
        <f t="shared" si="34"/>
        <v>0</v>
      </c>
      <c r="K157" s="37">
        <f t="shared" si="34"/>
        <v>0</v>
      </c>
      <c r="L157" s="37">
        <f t="shared" si="34"/>
        <v>0</v>
      </c>
      <c r="M157" s="37">
        <f t="shared" si="34"/>
        <v>0</v>
      </c>
      <c r="N157" s="37">
        <f t="shared" si="34"/>
        <v>0</v>
      </c>
      <c r="O157" s="37">
        <f t="shared" si="34"/>
        <v>0</v>
      </c>
      <c r="P157" s="37">
        <f t="shared" si="34"/>
        <v>0</v>
      </c>
      <c r="Q157" s="37">
        <f t="shared" si="34"/>
        <v>0</v>
      </c>
      <c r="R157" s="37">
        <f t="shared" si="34"/>
        <v>0</v>
      </c>
      <c r="S157" s="37">
        <f t="shared" si="34"/>
        <v>0</v>
      </c>
      <c r="T157" s="37">
        <f t="shared" si="34"/>
        <v>0</v>
      </c>
      <c r="U157" s="37">
        <f t="shared" si="34"/>
        <v>0</v>
      </c>
      <c r="V157" s="37">
        <f t="shared" si="34"/>
        <v>0</v>
      </c>
      <c r="W157" s="37">
        <f t="shared" si="34"/>
        <v>0</v>
      </c>
      <c r="X157" s="37">
        <f t="shared" si="34"/>
        <v>0</v>
      </c>
      <c r="Y157" s="37">
        <f t="shared" si="34"/>
        <v>0</v>
      </c>
      <c r="Z157" s="37">
        <f t="shared" si="34"/>
        <v>0</v>
      </c>
      <c r="AA157" s="37">
        <f t="shared" si="34"/>
        <v>0</v>
      </c>
      <c r="AB157" s="37">
        <f t="shared" si="34"/>
        <v>0</v>
      </c>
      <c r="AC157" s="37">
        <f t="shared" si="34"/>
        <v>0</v>
      </c>
      <c r="AD157" s="37">
        <f t="shared" si="34"/>
        <v>0</v>
      </c>
      <c r="AE157" s="37">
        <f t="shared" si="34"/>
        <v>0</v>
      </c>
      <c r="AF157" s="38">
        <f t="shared" si="34"/>
        <v>0</v>
      </c>
    </row>
    <row r="158" spans="3:33" x14ac:dyDescent="0.25">
      <c r="C158" s="10"/>
      <c r="D158" s="11"/>
      <c r="E158" s="174" t="s">
        <v>172</v>
      </c>
      <c r="F158" s="172" t="str">
        <f>F124</f>
        <v>Plant B</v>
      </c>
      <c r="G158" s="37">
        <f t="shared" ref="G158:AF158" si="35">IFERROR(G130,0)</f>
        <v>0</v>
      </c>
      <c r="H158" s="37">
        <f t="shared" si="35"/>
        <v>0</v>
      </c>
      <c r="I158" s="37">
        <f t="shared" si="35"/>
        <v>0</v>
      </c>
      <c r="J158" s="37">
        <f t="shared" si="35"/>
        <v>0</v>
      </c>
      <c r="K158" s="37">
        <f t="shared" si="35"/>
        <v>0</v>
      </c>
      <c r="L158" s="37">
        <f t="shared" si="35"/>
        <v>0</v>
      </c>
      <c r="M158" s="37">
        <f t="shared" si="35"/>
        <v>0</v>
      </c>
      <c r="N158" s="37">
        <f t="shared" si="35"/>
        <v>0</v>
      </c>
      <c r="O158" s="37">
        <f t="shared" si="35"/>
        <v>0</v>
      </c>
      <c r="P158" s="37">
        <f t="shared" si="35"/>
        <v>0</v>
      </c>
      <c r="Q158" s="37">
        <f t="shared" si="35"/>
        <v>0</v>
      </c>
      <c r="R158" s="37">
        <f t="shared" si="35"/>
        <v>0</v>
      </c>
      <c r="S158" s="37">
        <f t="shared" si="35"/>
        <v>0</v>
      </c>
      <c r="T158" s="37">
        <f t="shared" si="35"/>
        <v>0</v>
      </c>
      <c r="U158" s="37">
        <f t="shared" si="35"/>
        <v>0</v>
      </c>
      <c r="V158" s="37">
        <f t="shared" si="35"/>
        <v>0</v>
      </c>
      <c r="W158" s="37">
        <f t="shared" si="35"/>
        <v>0</v>
      </c>
      <c r="X158" s="37">
        <f t="shared" si="35"/>
        <v>0</v>
      </c>
      <c r="Y158" s="37">
        <f t="shared" si="35"/>
        <v>0</v>
      </c>
      <c r="Z158" s="37">
        <f t="shared" si="35"/>
        <v>0</v>
      </c>
      <c r="AA158" s="37">
        <f t="shared" si="35"/>
        <v>0</v>
      </c>
      <c r="AB158" s="37">
        <f t="shared" si="35"/>
        <v>0</v>
      </c>
      <c r="AC158" s="37">
        <f t="shared" si="35"/>
        <v>0</v>
      </c>
      <c r="AD158" s="37">
        <f t="shared" si="35"/>
        <v>0</v>
      </c>
      <c r="AE158" s="37">
        <f t="shared" si="35"/>
        <v>0</v>
      </c>
      <c r="AF158" s="38">
        <f t="shared" si="35"/>
        <v>0</v>
      </c>
    </row>
    <row r="159" spans="3:33" x14ac:dyDescent="0.25">
      <c r="C159" s="10"/>
      <c r="D159" s="11"/>
      <c r="E159" s="174" t="s">
        <v>173</v>
      </c>
      <c r="F159" s="172" t="str">
        <f>F132</f>
        <v>Plant C</v>
      </c>
      <c r="G159" s="37">
        <f t="shared" ref="G159:AF159" si="36">IFERROR(G138,0)</f>
        <v>0</v>
      </c>
      <c r="H159" s="37">
        <f t="shared" si="36"/>
        <v>0</v>
      </c>
      <c r="I159" s="37">
        <f t="shared" si="36"/>
        <v>0</v>
      </c>
      <c r="J159" s="37">
        <f t="shared" si="36"/>
        <v>0</v>
      </c>
      <c r="K159" s="37">
        <f t="shared" si="36"/>
        <v>0</v>
      </c>
      <c r="L159" s="37">
        <f t="shared" si="36"/>
        <v>0</v>
      </c>
      <c r="M159" s="37">
        <f t="shared" si="36"/>
        <v>0</v>
      </c>
      <c r="N159" s="37">
        <f t="shared" si="36"/>
        <v>0</v>
      </c>
      <c r="O159" s="37">
        <f t="shared" si="36"/>
        <v>0</v>
      </c>
      <c r="P159" s="37">
        <f t="shared" si="36"/>
        <v>0</v>
      </c>
      <c r="Q159" s="37">
        <f t="shared" si="36"/>
        <v>0</v>
      </c>
      <c r="R159" s="37">
        <f t="shared" si="36"/>
        <v>0</v>
      </c>
      <c r="S159" s="37">
        <f t="shared" si="36"/>
        <v>0</v>
      </c>
      <c r="T159" s="37">
        <f t="shared" si="36"/>
        <v>0</v>
      </c>
      <c r="U159" s="37">
        <f t="shared" si="36"/>
        <v>0</v>
      </c>
      <c r="V159" s="37">
        <f t="shared" si="36"/>
        <v>0</v>
      </c>
      <c r="W159" s="37">
        <f t="shared" si="36"/>
        <v>0</v>
      </c>
      <c r="X159" s="37">
        <f t="shared" si="36"/>
        <v>0</v>
      </c>
      <c r="Y159" s="37">
        <f t="shared" si="36"/>
        <v>0</v>
      </c>
      <c r="Z159" s="37">
        <f t="shared" si="36"/>
        <v>0</v>
      </c>
      <c r="AA159" s="37">
        <f t="shared" si="36"/>
        <v>0</v>
      </c>
      <c r="AB159" s="37">
        <f t="shared" si="36"/>
        <v>0</v>
      </c>
      <c r="AC159" s="37">
        <f t="shared" si="36"/>
        <v>0</v>
      </c>
      <c r="AD159" s="37">
        <f t="shared" si="36"/>
        <v>0</v>
      </c>
      <c r="AE159" s="37">
        <f t="shared" si="36"/>
        <v>0</v>
      </c>
      <c r="AF159" s="38">
        <f t="shared" si="36"/>
        <v>0</v>
      </c>
    </row>
    <row r="160" spans="3:33" x14ac:dyDescent="0.25">
      <c r="C160" s="10"/>
      <c r="D160" s="11"/>
      <c r="E160" s="174" t="s">
        <v>174</v>
      </c>
      <c r="F160" s="172" t="str">
        <f>F140</f>
        <v>Plant D</v>
      </c>
      <c r="G160" s="37">
        <f t="shared" ref="G160:AF160" si="37">IFERROR(G146,0)</f>
        <v>0</v>
      </c>
      <c r="H160" s="37">
        <f t="shared" si="37"/>
        <v>0</v>
      </c>
      <c r="I160" s="37">
        <f t="shared" si="37"/>
        <v>0</v>
      </c>
      <c r="J160" s="37">
        <f t="shared" si="37"/>
        <v>0</v>
      </c>
      <c r="K160" s="37">
        <f t="shared" si="37"/>
        <v>0</v>
      </c>
      <c r="L160" s="37">
        <f t="shared" si="37"/>
        <v>0</v>
      </c>
      <c r="M160" s="37">
        <f t="shared" si="37"/>
        <v>0</v>
      </c>
      <c r="N160" s="37">
        <f t="shared" si="37"/>
        <v>0</v>
      </c>
      <c r="O160" s="37">
        <f t="shared" si="37"/>
        <v>0</v>
      </c>
      <c r="P160" s="37">
        <f t="shared" si="37"/>
        <v>0</v>
      </c>
      <c r="Q160" s="37">
        <f t="shared" si="37"/>
        <v>0</v>
      </c>
      <c r="R160" s="37">
        <f t="shared" si="37"/>
        <v>0</v>
      </c>
      <c r="S160" s="37">
        <f t="shared" si="37"/>
        <v>0</v>
      </c>
      <c r="T160" s="37">
        <f t="shared" si="37"/>
        <v>0</v>
      </c>
      <c r="U160" s="37">
        <f t="shared" si="37"/>
        <v>0</v>
      </c>
      <c r="V160" s="37">
        <f t="shared" si="37"/>
        <v>0</v>
      </c>
      <c r="W160" s="37">
        <f t="shared" si="37"/>
        <v>0</v>
      </c>
      <c r="X160" s="37">
        <f t="shared" si="37"/>
        <v>0</v>
      </c>
      <c r="Y160" s="37">
        <f t="shared" si="37"/>
        <v>0</v>
      </c>
      <c r="Z160" s="37">
        <f t="shared" si="37"/>
        <v>0</v>
      </c>
      <c r="AA160" s="37">
        <f t="shared" si="37"/>
        <v>0</v>
      </c>
      <c r="AB160" s="37">
        <f t="shared" si="37"/>
        <v>0</v>
      </c>
      <c r="AC160" s="37">
        <f t="shared" si="37"/>
        <v>0</v>
      </c>
      <c r="AD160" s="37">
        <f t="shared" si="37"/>
        <v>0</v>
      </c>
      <c r="AE160" s="37">
        <f t="shared" si="37"/>
        <v>0</v>
      </c>
      <c r="AF160" s="38">
        <f t="shared" si="37"/>
        <v>0</v>
      </c>
    </row>
    <row r="161" spans="3:32" x14ac:dyDescent="0.25">
      <c r="C161" s="10"/>
      <c r="D161" s="11"/>
      <c r="E161" s="174" t="s">
        <v>175</v>
      </c>
      <c r="F161" s="172" t="str">
        <f>F148</f>
        <v>Plant E</v>
      </c>
      <c r="G161" s="37">
        <f>IFERROR(G154,0)</f>
        <v>0</v>
      </c>
      <c r="H161" s="37">
        <f t="shared" ref="H161:AF161" si="38">IFERROR(H154,0)</f>
        <v>0</v>
      </c>
      <c r="I161" s="37">
        <f t="shared" si="38"/>
        <v>0</v>
      </c>
      <c r="J161" s="37">
        <f t="shared" si="38"/>
        <v>0</v>
      </c>
      <c r="K161" s="37">
        <f t="shared" si="38"/>
        <v>0</v>
      </c>
      <c r="L161" s="37">
        <f t="shared" si="38"/>
        <v>0</v>
      </c>
      <c r="M161" s="37">
        <f t="shared" si="38"/>
        <v>0</v>
      </c>
      <c r="N161" s="37">
        <f t="shared" si="38"/>
        <v>0</v>
      </c>
      <c r="O161" s="37">
        <f t="shared" si="38"/>
        <v>0</v>
      </c>
      <c r="P161" s="37">
        <f t="shared" si="38"/>
        <v>0</v>
      </c>
      <c r="Q161" s="37">
        <f t="shared" si="38"/>
        <v>0</v>
      </c>
      <c r="R161" s="37">
        <f t="shared" si="38"/>
        <v>0</v>
      </c>
      <c r="S161" s="37">
        <f t="shared" si="38"/>
        <v>0</v>
      </c>
      <c r="T161" s="37">
        <f t="shared" si="38"/>
        <v>0</v>
      </c>
      <c r="U161" s="37">
        <f t="shared" si="38"/>
        <v>0</v>
      </c>
      <c r="V161" s="37">
        <f t="shared" si="38"/>
        <v>0</v>
      </c>
      <c r="W161" s="37">
        <f t="shared" si="38"/>
        <v>0</v>
      </c>
      <c r="X161" s="37">
        <f t="shared" si="38"/>
        <v>0</v>
      </c>
      <c r="Y161" s="37">
        <f t="shared" si="38"/>
        <v>0</v>
      </c>
      <c r="Z161" s="37">
        <f t="shared" si="38"/>
        <v>0</v>
      </c>
      <c r="AA161" s="37">
        <f t="shared" si="38"/>
        <v>0</v>
      </c>
      <c r="AB161" s="37">
        <f t="shared" si="38"/>
        <v>0</v>
      </c>
      <c r="AC161" s="37">
        <f t="shared" si="38"/>
        <v>0</v>
      </c>
      <c r="AD161" s="37">
        <f t="shared" si="38"/>
        <v>0</v>
      </c>
      <c r="AE161" s="37">
        <f t="shared" si="38"/>
        <v>0</v>
      </c>
      <c r="AF161" s="38">
        <f t="shared" si="38"/>
        <v>0</v>
      </c>
    </row>
    <row r="162" spans="3:32" x14ac:dyDescent="0.25">
      <c r="C162" s="10"/>
      <c r="D162" s="11" t="s">
        <v>371</v>
      </c>
      <c r="E162" s="345"/>
      <c r="F162" s="345"/>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3"/>
    </row>
    <row r="163" spans="3:32" x14ac:dyDescent="0.25">
      <c r="C163" s="10"/>
      <c r="D163" s="11"/>
      <c r="E163" s="174" t="s">
        <v>171</v>
      </c>
      <c r="F163" s="172" t="str">
        <f>F116</f>
        <v>Plant A</v>
      </c>
      <c r="G163" s="37">
        <f>'Utility Sector'!I57</f>
        <v>0</v>
      </c>
      <c r="H163" s="37">
        <f>'Utility Sector'!J57</f>
        <v>0</v>
      </c>
      <c r="I163" s="37">
        <f>'Utility Sector'!K57</f>
        <v>0</v>
      </c>
      <c r="J163" s="37">
        <f>'Utility Sector'!L57</f>
        <v>0</v>
      </c>
      <c r="K163" s="37">
        <f>'Utility Sector'!M57</f>
        <v>0</v>
      </c>
      <c r="L163" s="37">
        <f>'Utility Sector'!N57</f>
        <v>0</v>
      </c>
      <c r="M163" s="37">
        <f>'Utility Sector'!O57</f>
        <v>0</v>
      </c>
      <c r="N163" s="37">
        <f>'Utility Sector'!P57</f>
        <v>0</v>
      </c>
      <c r="O163" s="37">
        <f>'Utility Sector'!Q57</f>
        <v>0</v>
      </c>
      <c r="P163" s="37">
        <f>'Utility Sector'!R57</f>
        <v>0</v>
      </c>
      <c r="Q163" s="37">
        <f>'Utility Sector'!S57</f>
        <v>0</v>
      </c>
      <c r="R163" s="37">
        <f>'Utility Sector'!T57</f>
        <v>0</v>
      </c>
      <c r="S163" s="37">
        <f>'Utility Sector'!U57</f>
        <v>0</v>
      </c>
      <c r="T163" s="37">
        <f>'Utility Sector'!V57</f>
        <v>0</v>
      </c>
      <c r="U163" s="37">
        <f>'Utility Sector'!W57</f>
        <v>0</v>
      </c>
      <c r="V163" s="37">
        <f>'Utility Sector'!X57</f>
        <v>0</v>
      </c>
      <c r="W163" s="37">
        <f>'Utility Sector'!Y57</f>
        <v>0</v>
      </c>
      <c r="X163" s="37">
        <f>'Utility Sector'!Z57</f>
        <v>0</v>
      </c>
      <c r="Y163" s="37">
        <f>'Utility Sector'!AA57</f>
        <v>0</v>
      </c>
      <c r="Z163" s="37">
        <f>'Utility Sector'!AB57</f>
        <v>0</v>
      </c>
      <c r="AA163" s="37">
        <f>'Utility Sector'!AC57</f>
        <v>0</v>
      </c>
      <c r="AB163" s="37">
        <f>'Utility Sector'!AD57</f>
        <v>0</v>
      </c>
      <c r="AC163" s="37">
        <f>'Utility Sector'!AE57</f>
        <v>0</v>
      </c>
      <c r="AD163" s="37">
        <f>'Utility Sector'!AF57</f>
        <v>0</v>
      </c>
      <c r="AE163" s="37">
        <f>'Utility Sector'!AG57</f>
        <v>0</v>
      </c>
      <c r="AF163" s="38">
        <f>'Utility Sector'!AH57</f>
        <v>0</v>
      </c>
    </row>
    <row r="164" spans="3:32" x14ac:dyDescent="0.25">
      <c r="C164" s="10"/>
      <c r="D164" s="11"/>
      <c r="E164" s="174" t="s">
        <v>172</v>
      </c>
      <c r="F164" s="172" t="str">
        <f>F124</f>
        <v>Plant B</v>
      </c>
      <c r="G164" s="37">
        <f>'Utility Sector'!I62</f>
        <v>0</v>
      </c>
      <c r="H164" s="37">
        <f>'Utility Sector'!J62</f>
        <v>0</v>
      </c>
      <c r="I164" s="37">
        <f>'Utility Sector'!K62</f>
        <v>0</v>
      </c>
      <c r="J164" s="37">
        <f>'Utility Sector'!L62</f>
        <v>0</v>
      </c>
      <c r="K164" s="37">
        <f>'Utility Sector'!M62</f>
        <v>0</v>
      </c>
      <c r="L164" s="37">
        <f>'Utility Sector'!N62</f>
        <v>0</v>
      </c>
      <c r="M164" s="37">
        <f>'Utility Sector'!O62</f>
        <v>0</v>
      </c>
      <c r="N164" s="37">
        <f>'Utility Sector'!P62</f>
        <v>0</v>
      </c>
      <c r="O164" s="37">
        <f>'Utility Sector'!Q62</f>
        <v>0</v>
      </c>
      <c r="P164" s="37">
        <f>'Utility Sector'!R62</f>
        <v>0</v>
      </c>
      <c r="Q164" s="37">
        <f>'Utility Sector'!S62</f>
        <v>0</v>
      </c>
      <c r="R164" s="37">
        <f>'Utility Sector'!T62</f>
        <v>0</v>
      </c>
      <c r="S164" s="37">
        <f>'Utility Sector'!U62</f>
        <v>0</v>
      </c>
      <c r="T164" s="37">
        <f>'Utility Sector'!V62</f>
        <v>0</v>
      </c>
      <c r="U164" s="37">
        <f>'Utility Sector'!W62</f>
        <v>0</v>
      </c>
      <c r="V164" s="37">
        <f>'Utility Sector'!X62</f>
        <v>0</v>
      </c>
      <c r="W164" s="37">
        <f>'Utility Sector'!Y62</f>
        <v>0</v>
      </c>
      <c r="X164" s="37">
        <f>'Utility Sector'!Z62</f>
        <v>0</v>
      </c>
      <c r="Y164" s="37">
        <f>'Utility Sector'!AA62</f>
        <v>0</v>
      </c>
      <c r="Z164" s="37">
        <f>'Utility Sector'!AB62</f>
        <v>0</v>
      </c>
      <c r="AA164" s="37">
        <f>'Utility Sector'!AC62</f>
        <v>0</v>
      </c>
      <c r="AB164" s="37">
        <f>'Utility Sector'!AD62</f>
        <v>0</v>
      </c>
      <c r="AC164" s="37">
        <f>'Utility Sector'!AE62</f>
        <v>0</v>
      </c>
      <c r="AD164" s="37">
        <f>'Utility Sector'!AF62</f>
        <v>0</v>
      </c>
      <c r="AE164" s="37">
        <f>'Utility Sector'!AG62</f>
        <v>0</v>
      </c>
      <c r="AF164" s="38">
        <f>'Utility Sector'!AH62</f>
        <v>0</v>
      </c>
    </row>
    <row r="165" spans="3:32" x14ac:dyDescent="0.25">
      <c r="C165" s="10"/>
      <c r="D165" s="11"/>
      <c r="E165" s="174" t="s">
        <v>173</v>
      </c>
      <c r="F165" s="172" t="str">
        <f>F132</f>
        <v>Plant C</v>
      </c>
      <c r="G165" s="37">
        <f>'Utility Sector'!I67</f>
        <v>0</v>
      </c>
      <c r="H165" s="37">
        <f>'Utility Sector'!J67</f>
        <v>0</v>
      </c>
      <c r="I165" s="37">
        <f>'Utility Sector'!K67</f>
        <v>0</v>
      </c>
      <c r="J165" s="37">
        <f>'Utility Sector'!L67</f>
        <v>0</v>
      </c>
      <c r="K165" s="37">
        <f>'Utility Sector'!M67</f>
        <v>0</v>
      </c>
      <c r="L165" s="37">
        <f>'Utility Sector'!N67</f>
        <v>0</v>
      </c>
      <c r="M165" s="37">
        <f>'Utility Sector'!O67</f>
        <v>0</v>
      </c>
      <c r="N165" s="37">
        <f>'Utility Sector'!P67</f>
        <v>0</v>
      </c>
      <c r="O165" s="37">
        <f>'Utility Sector'!Q67</f>
        <v>0</v>
      </c>
      <c r="P165" s="37">
        <f>'Utility Sector'!R67</f>
        <v>0</v>
      </c>
      <c r="Q165" s="37">
        <f>'Utility Sector'!S67</f>
        <v>0</v>
      </c>
      <c r="R165" s="37">
        <f>'Utility Sector'!T67</f>
        <v>0</v>
      </c>
      <c r="S165" s="37">
        <f>'Utility Sector'!U67</f>
        <v>0</v>
      </c>
      <c r="T165" s="37">
        <f>'Utility Sector'!V67</f>
        <v>0</v>
      </c>
      <c r="U165" s="37">
        <f>'Utility Sector'!W67</f>
        <v>0</v>
      </c>
      <c r="V165" s="37">
        <f>'Utility Sector'!X67</f>
        <v>0</v>
      </c>
      <c r="W165" s="37">
        <f>'Utility Sector'!Y67</f>
        <v>0</v>
      </c>
      <c r="X165" s="37">
        <f>'Utility Sector'!Z67</f>
        <v>0</v>
      </c>
      <c r="Y165" s="37">
        <f>'Utility Sector'!AA67</f>
        <v>0</v>
      </c>
      <c r="Z165" s="37">
        <f>'Utility Sector'!AB67</f>
        <v>0</v>
      </c>
      <c r="AA165" s="37">
        <f>'Utility Sector'!AC67</f>
        <v>0</v>
      </c>
      <c r="AB165" s="37">
        <f>'Utility Sector'!AD67</f>
        <v>0</v>
      </c>
      <c r="AC165" s="37">
        <f>'Utility Sector'!AE67</f>
        <v>0</v>
      </c>
      <c r="AD165" s="37">
        <f>'Utility Sector'!AF67</f>
        <v>0</v>
      </c>
      <c r="AE165" s="37">
        <f>'Utility Sector'!AG67</f>
        <v>0</v>
      </c>
      <c r="AF165" s="38">
        <f>'Utility Sector'!AH67</f>
        <v>0</v>
      </c>
    </row>
    <row r="166" spans="3:32" x14ac:dyDescent="0.25">
      <c r="C166" s="10"/>
      <c r="D166" s="11"/>
      <c r="E166" s="174" t="s">
        <v>174</v>
      </c>
      <c r="F166" s="172" t="str">
        <f>F140</f>
        <v>Plant D</v>
      </c>
      <c r="G166" s="37">
        <f>'Utility Sector'!I72</f>
        <v>0</v>
      </c>
      <c r="H166" s="37">
        <f>'Utility Sector'!J72</f>
        <v>0</v>
      </c>
      <c r="I166" s="37">
        <f>'Utility Sector'!K72</f>
        <v>0</v>
      </c>
      <c r="J166" s="37">
        <f>'Utility Sector'!L72</f>
        <v>0</v>
      </c>
      <c r="K166" s="37">
        <f>'Utility Sector'!M72</f>
        <v>0</v>
      </c>
      <c r="L166" s="37">
        <f>'Utility Sector'!N72</f>
        <v>0</v>
      </c>
      <c r="M166" s="37">
        <f>'Utility Sector'!O72</f>
        <v>0</v>
      </c>
      <c r="N166" s="37">
        <f>'Utility Sector'!P72</f>
        <v>0</v>
      </c>
      <c r="O166" s="37">
        <f>'Utility Sector'!Q72</f>
        <v>0</v>
      </c>
      <c r="P166" s="37">
        <f>'Utility Sector'!R72</f>
        <v>0</v>
      </c>
      <c r="Q166" s="37">
        <f>'Utility Sector'!S72</f>
        <v>0</v>
      </c>
      <c r="R166" s="37">
        <f>'Utility Sector'!T72</f>
        <v>0</v>
      </c>
      <c r="S166" s="37">
        <f>'Utility Sector'!U72</f>
        <v>0</v>
      </c>
      <c r="T166" s="37">
        <f>'Utility Sector'!V72</f>
        <v>0</v>
      </c>
      <c r="U166" s="37">
        <f>'Utility Sector'!W72</f>
        <v>0</v>
      </c>
      <c r="V166" s="37">
        <f>'Utility Sector'!X72</f>
        <v>0</v>
      </c>
      <c r="W166" s="37">
        <f>'Utility Sector'!Y72</f>
        <v>0</v>
      </c>
      <c r="X166" s="37">
        <f>'Utility Sector'!Z72</f>
        <v>0</v>
      </c>
      <c r="Y166" s="37">
        <f>'Utility Sector'!AA72</f>
        <v>0</v>
      </c>
      <c r="Z166" s="37">
        <f>'Utility Sector'!AB72</f>
        <v>0</v>
      </c>
      <c r="AA166" s="37">
        <f>'Utility Sector'!AC72</f>
        <v>0</v>
      </c>
      <c r="AB166" s="37">
        <f>'Utility Sector'!AD72</f>
        <v>0</v>
      </c>
      <c r="AC166" s="37">
        <f>'Utility Sector'!AE72</f>
        <v>0</v>
      </c>
      <c r="AD166" s="37">
        <f>'Utility Sector'!AF72</f>
        <v>0</v>
      </c>
      <c r="AE166" s="37">
        <f>'Utility Sector'!AG72</f>
        <v>0</v>
      </c>
      <c r="AF166" s="38">
        <f>'Utility Sector'!AH72</f>
        <v>0</v>
      </c>
    </row>
    <row r="167" spans="3:32" x14ac:dyDescent="0.25">
      <c r="C167" s="26"/>
      <c r="D167" s="29"/>
      <c r="E167" s="178" t="s">
        <v>175</v>
      </c>
      <c r="F167" s="179" t="str">
        <f>F148</f>
        <v>Plant E</v>
      </c>
      <c r="G167" s="180">
        <f>'Utility Sector'!I77</f>
        <v>0</v>
      </c>
      <c r="H167" s="180">
        <f>'Utility Sector'!J77</f>
        <v>0</v>
      </c>
      <c r="I167" s="180">
        <f>'Utility Sector'!K77</f>
        <v>0</v>
      </c>
      <c r="J167" s="180">
        <f>'Utility Sector'!L77</f>
        <v>0</v>
      </c>
      <c r="K167" s="180">
        <f>'Utility Sector'!M77</f>
        <v>0</v>
      </c>
      <c r="L167" s="180">
        <f>'Utility Sector'!N77</f>
        <v>0</v>
      </c>
      <c r="M167" s="180">
        <f>'Utility Sector'!O77</f>
        <v>0</v>
      </c>
      <c r="N167" s="180">
        <f>'Utility Sector'!P77</f>
        <v>0</v>
      </c>
      <c r="O167" s="180">
        <f>'Utility Sector'!Q77</f>
        <v>0</v>
      </c>
      <c r="P167" s="180">
        <f>'Utility Sector'!R77</f>
        <v>0</v>
      </c>
      <c r="Q167" s="180">
        <f>'Utility Sector'!S77</f>
        <v>0</v>
      </c>
      <c r="R167" s="180">
        <f>'Utility Sector'!T77</f>
        <v>0</v>
      </c>
      <c r="S167" s="180">
        <f>'Utility Sector'!U77</f>
        <v>0</v>
      </c>
      <c r="T167" s="180">
        <f>'Utility Sector'!V77</f>
        <v>0</v>
      </c>
      <c r="U167" s="180">
        <f>'Utility Sector'!W77</f>
        <v>0</v>
      </c>
      <c r="V167" s="180">
        <f>'Utility Sector'!X77</f>
        <v>0</v>
      </c>
      <c r="W167" s="180">
        <f>'Utility Sector'!Y77</f>
        <v>0</v>
      </c>
      <c r="X167" s="180">
        <f>'Utility Sector'!Z77</f>
        <v>0</v>
      </c>
      <c r="Y167" s="180">
        <f>'Utility Sector'!AA77</f>
        <v>0</v>
      </c>
      <c r="Z167" s="180">
        <f>'Utility Sector'!AB77</f>
        <v>0</v>
      </c>
      <c r="AA167" s="180">
        <f>'Utility Sector'!AC77</f>
        <v>0</v>
      </c>
      <c r="AB167" s="180">
        <f>'Utility Sector'!AD77</f>
        <v>0</v>
      </c>
      <c r="AC167" s="180">
        <f>'Utility Sector'!AE77</f>
        <v>0</v>
      </c>
      <c r="AD167" s="180">
        <f>'Utility Sector'!AF77</f>
        <v>0</v>
      </c>
      <c r="AE167" s="180">
        <f>'Utility Sector'!AG77</f>
        <v>0</v>
      </c>
      <c r="AF167" s="181">
        <f>'Utility Sector'!AH77</f>
        <v>0</v>
      </c>
    </row>
    <row r="170" spans="3:32" x14ac:dyDescent="0.25">
      <c r="G170" s="440"/>
    </row>
  </sheetData>
  <mergeCells count="11">
    <mergeCell ref="C114:M114"/>
    <mergeCell ref="C2:Q2"/>
    <mergeCell ref="C75:M75"/>
    <mergeCell ref="C3:F4"/>
    <mergeCell ref="C26:F26"/>
    <mergeCell ref="C38:F38"/>
    <mergeCell ref="C5:F5"/>
    <mergeCell ref="C58:F58"/>
    <mergeCell ref="C76:F77"/>
    <mergeCell ref="C65:F65"/>
    <mergeCell ref="C70:F70"/>
  </mergeCells>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B2:G100"/>
  <sheetViews>
    <sheetView workbookViewId="0"/>
  </sheetViews>
  <sheetFormatPr defaultColWidth="8.875" defaultRowHeight="15.75" x14ac:dyDescent="0.25"/>
  <cols>
    <col min="1" max="1" width="2.5" customWidth="1"/>
    <col min="2" max="7" width="10.125" customWidth="1"/>
  </cols>
  <sheetData>
    <row r="2" spans="2:7" x14ac:dyDescent="0.25">
      <c r="B2" s="712" t="s">
        <v>139</v>
      </c>
      <c r="C2" s="713"/>
      <c r="D2" s="713"/>
      <c r="E2" s="713"/>
      <c r="F2" s="713"/>
      <c r="G2" s="714"/>
    </row>
    <row r="3" spans="2:7" x14ac:dyDescent="0.25">
      <c r="B3" s="31"/>
      <c r="C3" s="32"/>
      <c r="D3" s="32"/>
      <c r="E3" s="32"/>
      <c r="F3" s="32"/>
      <c r="G3" s="77"/>
    </row>
    <row r="4" spans="2:7" x14ac:dyDescent="0.25">
      <c r="B4" s="10"/>
      <c r="C4" s="11"/>
      <c r="D4" s="11"/>
      <c r="E4" s="11"/>
      <c r="F4" s="11"/>
      <c r="G4" s="20"/>
    </row>
    <row r="5" spans="2:7" x14ac:dyDescent="0.25">
      <c r="B5" s="10"/>
      <c r="C5" s="11"/>
      <c r="D5" s="11"/>
      <c r="E5" s="11"/>
      <c r="F5" s="11"/>
      <c r="G5" s="20"/>
    </row>
    <row r="6" spans="2:7" x14ac:dyDescent="0.25">
      <c r="B6" s="10"/>
      <c r="C6" s="11"/>
      <c r="D6" s="11"/>
      <c r="E6" s="11"/>
      <c r="F6" s="11"/>
      <c r="G6" s="20"/>
    </row>
    <row r="7" spans="2:7" x14ac:dyDescent="0.25">
      <c r="B7" s="10"/>
      <c r="C7" s="11"/>
      <c r="D7" s="11"/>
      <c r="E7" s="11"/>
      <c r="F7" s="11"/>
      <c r="G7" s="20"/>
    </row>
    <row r="8" spans="2:7" x14ac:dyDescent="0.25">
      <c r="B8" s="10"/>
      <c r="C8" s="11"/>
      <c r="D8" s="11"/>
      <c r="E8" s="11"/>
      <c r="F8" s="11"/>
      <c r="G8" s="20"/>
    </row>
    <row r="9" spans="2:7" x14ac:dyDescent="0.25">
      <c r="B9" s="10"/>
      <c r="C9" s="11"/>
      <c r="D9" s="11"/>
      <c r="E9" s="11"/>
      <c r="F9" s="11"/>
      <c r="G9" s="20"/>
    </row>
    <row r="10" spans="2:7" x14ac:dyDescent="0.25">
      <c r="B10" s="10"/>
      <c r="C10" s="11"/>
      <c r="D10" s="11"/>
      <c r="E10" s="11"/>
      <c r="F10" s="11"/>
      <c r="G10" s="20"/>
    </row>
    <row r="11" spans="2:7" x14ac:dyDescent="0.25">
      <c r="B11" s="10"/>
      <c r="C11" s="11"/>
      <c r="D11" s="11"/>
      <c r="E11" s="11"/>
      <c r="F11" s="11"/>
      <c r="G11" s="20"/>
    </row>
    <row r="12" spans="2:7" x14ac:dyDescent="0.25">
      <c r="B12" s="10"/>
      <c r="C12" s="11"/>
      <c r="D12" s="11"/>
      <c r="E12" s="11"/>
      <c r="F12" s="11"/>
      <c r="G12" s="20"/>
    </row>
    <row r="13" spans="2:7" x14ac:dyDescent="0.25">
      <c r="B13" s="10"/>
      <c r="C13" s="11"/>
      <c r="D13" s="11"/>
      <c r="E13" s="11"/>
      <c r="F13" s="11"/>
      <c r="G13" s="20"/>
    </row>
    <row r="14" spans="2:7" x14ac:dyDescent="0.25">
      <c r="B14" s="10"/>
      <c r="C14" s="11"/>
      <c r="D14" s="11"/>
      <c r="E14" s="11"/>
      <c r="F14" s="11"/>
      <c r="G14" s="20"/>
    </row>
    <row r="15" spans="2:7" x14ac:dyDescent="0.25">
      <c r="B15" s="10"/>
      <c r="C15" s="11"/>
      <c r="D15" s="11"/>
      <c r="E15" s="11"/>
      <c r="F15" s="11"/>
      <c r="G15" s="20"/>
    </row>
    <row r="16" spans="2:7" x14ac:dyDescent="0.25">
      <c r="B16" s="10"/>
      <c r="C16" s="11"/>
      <c r="D16" s="11"/>
      <c r="E16" s="11"/>
      <c r="F16" s="11"/>
      <c r="G16" s="20"/>
    </row>
    <row r="17" spans="2:7" x14ac:dyDescent="0.25">
      <c r="B17" s="10"/>
      <c r="C17" s="11"/>
      <c r="D17" s="11"/>
      <c r="E17" s="11"/>
      <c r="F17" s="11"/>
      <c r="G17" s="20"/>
    </row>
    <row r="18" spans="2:7" x14ac:dyDescent="0.25">
      <c r="B18" s="10"/>
      <c r="C18" s="11"/>
      <c r="D18" s="11"/>
      <c r="E18" s="11"/>
      <c r="F18" s="11"/>
      <c r="G18" s="20"/>
    </row>
    <row r="19" spans="2:7" x14ac:dyDescent="0.25">
      <c r="B19" s="10"/>
      <c r="C19" s="11"/>
      <c r="D19" s="11"/>
      <c r="E19" s="11"/>
      <c r="F19" s="11"/>
      <c r="G19" s="20"/>
    </row>
    <row r="20" spans="2:7" x14ac:dyDescent="0.25">
      <c r="B20" s="10"/>
      <c r="C20" s="11"/>
      <c r="D20" s="11"/>
      <c r="E20" s="11"/>
      <c r="F20" s="11"/>
      <c r="G20" s="20"/>
    </row>
    <row r="21" spans="2:7" x14ac:dyDescent="0.25">
      <c r="B21" s="10"/>
      <c r="C21" s="11"/>
      <c r="D21" s="11"/>
      <c r="E21" s="11"/>
      <c r="F21" s="11"/>
      <c r="G21" s="20"/>
    </row>
    <row r="22" spans="2:7" x14ac:dyDescent="0.25">
      <c r="B22" s="10"/>
      <c r="C22" s="11"/>
      <c r="D22" s="11"/>
      <c r="E22" s="11"/>
      <c r="F22" s="11"/>
      <c r="G22" s="20"/>
    </row>
    <row r="23" spans="2:7" x14ac:dyDescent="0.25">
      <c r="B23" s="10"/>
      <c r="C23" s="11"/>
      <c r="D23" s="11"/>
      <c r="E23" s="11"/>
      <c r="F23" s="11"/>
      <c r="G23" s="20"/>
    </row>
    <row r="24" spans="2:7" x14ac:dyDescent="0.25">
      <c r="B24" s="10"/>
      <c r="C24" s="11"/>
      <c r="D24" s="11"/>
      <c r="E24" s="11"/>
      <c r="F24" s="11"/>
      <c r="G24" s="20"/>
    </row>
    <row r="25" spans="2:7" x14ac:dyDescent="0.25">
      <c r="B25" s="10"/>
      <c r="C25" s="11"/>
      <c r="D25" s="11"/>
      <c r="E25" s="11"/>
      <c r="F25" s="11"/>
      <c r="G25" s="20"/>
    </row>
    <row r="26" spans="2:7" x14ac:dyDescent="0.25">
      <c r="B26" s="10"/>
      <c r="C26" s="11"/>
      <c r="D26" s="11"/>
      <c r="E26" s="11"/>
      <c r="F26" s="11"/>
      <c r="G26" s="20"/>
    </row>
    <row r="27" spans="2:7" x14ac:dyDescent="0.25">
      <c r="B27" s="10"/>
      <c r="C27" s="11"/>
      <c r="D27" s="11"/>
      <c r="E27" s="11"/>
      <c r="F27" s="11"/>
      <c r="G27" s="20"/>
    </row>
    <row r="28" spans="2:7" x14ac:dyDescent="0.25">
      <c r="B28" s="10"/>
      <c r="C28" s="11"/>
      <c r="D28" s="11"/>
      <c r="E28" s="11"/>
      <c r="F28" s="11"/>
      <c r="G28" s="20"/>
    </row>
    <row r="29" spans="2:7" x14ac:dyDescent="0.25">
      <c r="B29" s="10"/>
      <c r="C29" s="11"/>
      <c r="D29" s="11"/>
      <c r="E29" s="11"/>
      <c r="F29" s="11"/>
      <c r="G29" s="20"/>
    </row>
    <row r="30" spans="2:7" x14ac:dyDescent="0.25">
      <c r="B30" s="10"/>
      <c r="C30" s="11"/>
      <c r="D30" s="11"/>
      <c r="E30" s="11"/>
      <c r="F30" s="11"/>
      <c r="G30" s="20"/>
    </row>
    <row r="31" spans="2:7" x14ac:dyDescent="0.25">
      <c r="B31" s="10"/>
      <c r="C31" s="11"/>
      <c r="D31" s="11"/>
      <c r="E31" s="11"/>
      <c r="F31" s="11"/>
      <c r="G31" s="20"/>
    </row>
    <row r="32" spans="2:7" x14ac:dyDescent="0.25">
      <c r="B32" s="10"/>
      <c r="C32" s="11"/>
      <c r="D32" s="11"/>
      <c r="E32" s="11"/>
      <c r="F32" s="11"/>
      <c r="G32" s="20"/>
    </row>
    <row r="33" spans="2:7" x14ac:dyDescent="0.25">
      <c r="B33" s="10"/>
      <c r="C33" s="11"/>
      <c r="D33" s="11"/>
      <c r="E33" s="11"/>
      <c r="F33" s="11"/>
      <c r="G33" s="20"/>
    </row>
    <row r="34" spans="2:7" x14ac:dyDescent="0.25">
      <c r="B34" s="10"/>
      <c r="C34" s="11"/>
      <c r="D34" s="11"/>
      <c r="E34" s="11"/>
      <c r="F34" s="11"/>
      <c r="G34" s="20"/>
    </row>
    <row r="35" spans="2:7" x14ac:dyDescent="0.25">
      <c r="B35" s="10"/>
      <c r="C35" s="11"/>
      <c r="D35" s="11"/>
      <c r="E35" s="11"/>
      <c r="F35" s="11"/>
      <c r="G35" s="20"/>
    </row>
    <row r="36" spans="2:7" x14ac:dyDescent="0.25">
      <c r="B36" s="10"/>
      <c r="C36" s="11"/>
      <c r="D36" s="11"/>
      <c r="E36" s="11"/>
      <c r="F36" s="11"/>
      <c r="G36" s="20"/>
    </row>
    <row r="37" spans="2:7" x14ac:dyDescent="0.25">
      <c r="B37" s="10"/>
      <c r="C37" s="11"/>
      <c r="D37" s="11"/>
      <c r="E37" s="11"/>
      <c r="F37" s="11"/>
      <c r="G37" s="20"/>
    </row>
    <row r="38" spans="2:7" x14ac:dyDescent="0.25">
      <c r="B38" s="10"/>
      <c r="C38" s="11"/>
      <c r="D38" s="11"/>
      <c r="E38" s="11"/>
      <c r="F38" s="11"/>
      <c r="G38" s="20"/>
    </row>
    <row r="39" spans="2:7" x14ac:dyDescent="0.25">
      <c r="B39" s="10"/>
      <c r="C39" s="11"/>
      <c r="D39" s="11"/>
      <c r="E39" s="11"/>
      <c r="F39" s="11"/>
      <c r="G39" s="20"/>
    </row>
    <row r="40" spans="2:7" x14ac:dyDescent="0.25">
      <c r="B40" s="10"/>
      <c r="C40" s="11"/>
      <c r="D40" s="11"/>
      <c r="E40" s="11"/>
      <c r="F40" s="11"/>
      <c r="G40" s="20"/>
    </row>
    <row r="41" spans="2:7" x14ac:dyDescent="0.25">
      <c r="B41" s="10"/>
      <c r="C41" s="11"/>
      <c r="D41" s="11"/>
      <c r="E41" s="11"/>
      <c r="F41" s="11"/>
      <c r="G41" s="20"/>
    </row>
    <row r="42" spans="2:7" x14ac:dyDescent="0.25">
      <c r="B42" s="10"/>
      <c r="C42" s="11"/>
      <c r="D42" s="11"/>
      <c r="E42" s="11"/>
      <c r="F42" s="11"/>
      <c r="G42" s="20"/>
    </row>
    <row r="43" spans="2:7" x14ac:dyDescent="0.25">
      <c r="B43" s="10"/>
      <c r="C43" s="11"/>
      <c r="D43" s="11"/>
      <c r="E43" s="11"/>
      <c r="F43" s="11"/>
      <c r="G43" s="20"/>
    </row>
    <row r="44" spans="2:7" x14ac:dyDescent="0.25">
      <c r="B44" s="10"/>
      <c r="C44" s="11"/>
      <c r="D44" s="11"/>
      <c r="E44" s="11"/>
      <c r="F44" s="11"/>
      <c r="G44" s="20"/>
    </row>
    <row r="45" spans="2:7" x14ac:dyDescent="0.25">
      <c r="B45" s="10"/>
      <c r="C45" s="11"/>
      <c r="D45" s="11"/>
      <c r="E45" s="11"/>
      <c r="F45" s="11"/>
      <c r="G45" s="20"/>
    </row>
    <row r="46" spans="2:7" x14ac:dyDescent="0.25">
      <c r="B46" s="10"/>
      <c r="C46" s="11"/>
      <c r="D46" s="11"/>
      <c r="E46" s="11"/>
      <c r="F46" s="11"/>
      <c r="G46" s="20"/>
    </row>
    <row r="47" spans="2:7" x14ac:dyDescent="0.25">
      <c r="B47" s="10"/>
      <c r="C47" s="11"/>
      <c r="D47" s="11"/>
      <c r="E47" s="11"/>
      <c r="F47" s="11"/>
      <c r="G47" s="20"/>
    </row>
    <row r="48" spans="2:7" x14ac:dyDescent="0.25">
      <c r="B48" s="10"/>
      <c r="C48" s="11"/>
      <c r="D48" s="11"/>
      <c r="E48" s="11"/>
      <c r="F48" s="11"/>
      <c r="G48" s="20"/>
    </row>
    <row r="49" spans="2:7" x14ac:dyDescent="0.25">
      <c r="B49" s="10"/>
      <c r="C49" s="11"/>
      <c r="D49" s="11"/>
      <c r="E49" s="11"/>
      <c r="F49" s="11"/>
      <c r="G49" s="20"/>
    </row>
    <row r="50" spans="2:7" x14ac:dyDescent="0.25">
      <c r="B50" s="10"/>
      <c r="C50" s="11"/>
      <c r="D50" s="11"/>
      <c r="E50" s="11"/>
      <c r="F50" s="11"/>
      <c r="G50" s="20"/>
    </row>
    <row r="51" spans="2:7" x14ac:dyDescent="0.25">
      <c r="B51" s="10"/>
      <c r="C51" s="11"/>
      <c r="D51" s="11"/>
      <c r="E51" s="11"/>
      <c r="F51" s="11"/>
      <c r="G51" s="20"/>
    </row>
    <row r="52" spans="2:7" x14ac:dyDescent="0.25">
      <c r="B52" s="10"/>
      <c r="C52" s="11"/>
      <c r="D52" s="11"/>
      <c r="E52" s="11"/>
      <c r="F52" s="11"/>
      <c r="G52" s="20"/>
    </row>
    <row r="53" spans="2:7" x14ac:dyDescent="0.25">
      <c r="B53" s="10"/>
      <c r="C53" s="11"/>
      <c r="D53" s="11"/>
      <c r="E53" s="11"/>
      <c r="F53" s="11"/>
      <c r="G53" s="20"/>
    </row>
    <row r="54" spans="2:7" x14ac:dyDescent="0.25">
      <c r="B54" s="10"/>
      <c r="C54" s="11"/>
      <c r="D54" s="11"/>
      <c r="E54" s="11"/>
      <c r="F54" s="11"/>
      <c r="G54" s="20"/>
    </row>
    <row r="55" spans="2:7" x14ac:dyDescent="0.25">
      <c r="B55" s="10"/>
      <c r="C55" s="11"/>
      <c r="D55" s="11"/>
      <c r="E55" s="11"/>
      <c r="F55" s="11"/>
      <c r="G55" s="20"/>
    </row>
    <row r="56" spans="2:7" x14ac:dyDescent="0.25">
      <c r="B56" s="10"/>
      <c r="C56" s="11"/>
      <c r="D56" s="11"/>
      <c r="E56" s="11"/>
      <c r="F56" s="11"/>
      <c r="G56" s="20"/>
    </row>
    <row r="57" spans="2:7" x14ac:dyDescent="0.25">
      <c r="B57" s="10"/>
      <c r="C57" s="11"/>
      <c r="D57" s="11"/>
      <c r="E57" s="11"/>
      <c r="F57" s="11"/>
      <c r="G57" s="20"/>
    </row>
    <row r="58" spans="2:7" x14ac:dyDescent="0.25">
      <c r="B58" s="10"/>
      <c r="C58" s="11"/>
      <c r="D58" s="11"/>
      <c r="E58" s="11"/>
      <c r="F58" s="11"/>
      <c r="G58" s="20"/>
    </row>
    <row r="59" spans="2:7" x14ac:dyDescent="0.25">
      <c r="B59" s="10"/>
      <c r="C59" s="11"/>
      <c r="D59" s="11"/>
      <c r="E59" s="11"/>
      <c r="F59" s="11"/>
      <c r="G59" s="20"/>
    </row>
    <row r="60" spans="2:7" x14ac:dyDescent="0.25">
      <c r="B60" s="10"/>
      <c r="C60" s="11"/>
      <c r="D60" s="11"/>
      <c r="E60" s="11"/>
      <c r="F60" s="11"/>
      <c r="G60" s="20"/>
    </row>
    <row r="61" spans="2:7" x14ac:dyDescent="0.25">
      <c r="B61" s="10"/>
      <c r="C61" s="11"/>
      <c r="D61" s="11"/>
      <c r="E61" s="11"/>
      <c r="F61" s="11"/>
      <c r="G61" s="20"/>
    </row>
    <row r="62" spans="2:7" x14ac:dyDescent="0.25">
      <c r="B62" s="10"/>
      <c r="C62" s="11"/>
      <c r="D62" s="11"/>
      <c r="E62" s="11"/>
      <c r="F62" s="11"/>
      <c r="G62" s="20"/>
    </row>
    <row r="63" spans="2:7" x14ac:dyDescent="0.25">
      <c r="B63" s="10"/>
      <c r="C63" s="11"/>
      <c r="D63" s="11"/>
      <c r="E63" s="11"/>
      <c r="F63" s="11"/>
      <c r="G63" s="20"/>
    </row>
    <row r="64" spans="2:7" x14ac:dyDescent="0.25">
      <c r="B64" s="10"/>
      <c r="C64" s="11"/>
      <c r="D64" s="11"/>
      <c r="E64" s="11"/>
      <c r="F64" s="11"/>
      <c r="G64" s="20"/>
    </row>
    <row r="65" spans="2:7" x14ac:dyDescent="0.25">
      <c r="B65" s="26"/>
      <c r="C65" s="29"/>
      <c r="D65" s="29"/>
      <c r="E65" s="29"/>
      <c r="F65" s="29"/>
      <c r="G65" s="30"/>
    </row>
    <row r="67" spans="2:7" x14ac:dyDescent="0.25">
      <c r="B67" s="712" t="s">
        <v>169</v>
      </c>
      <c r="C67" s="713"/>
      <c r="D67" s="713"/>
      <c r="E67" s="713"/>
      <c r="F67" s="713"/>
      <c r="G67" s="714"/>
    </row>
    <row r="68" spans="2:7" x14ac:dyDescent="0.25">
      <c r="B68" s="31"/>
      <c r="C68" s="32"/>
      <c r="D68" s="32"/>
      <c r="E68" s="32"/>
      <c r="F68" s="32"/>
      <c r="G68" s="77"/>
    </row>
    <row r="69" spans="2:7" x14ac:dyDescent="0.25">
      <c r="B69" s="10"/>
      <c r="C69" s="11"/>
      <c r="D69" s="11"/>
      <c r="E69" s="11"/>
      <c r="F69" s="11"/>
      <c r="G69" s="20"/>
    </row>
    <row r="70" spans="2:7" x14ac:dyDescent="0.25">
      <c r="B70" s="10"/>
      <c r="C70" s="11"/>
      <c r="D70" s="11"/>
      <c r="E70" s="11"/>
      <c r="F70" s="11"/>
      <c r="G70" s="20"/>
    </row>
    <row r="71" spans="2:7" x14ac:dyDescent="0.25">
      <c r="B71" s="10"/>
      <c r="C71" s="11"/>
      <c r="D71" s="11"/>
      <c r="E71" s="11"/>
      <c r="F71" s="11"/>
      <c r="G71" s="20"/>
    </row>
    <row r="72" spans="2:7" x14ac:dyDescent="0.25">
      <c r="B72" s="10"/>
      <c r="C72" s="11"/>
      <c r="D72" s="11"/>
      <c r="E72" s="11"/>
      <c r="F72" s="11"/>
      <c r="G72" s="20"/>
    </row>
    <row r="73" spans="2:7" x14ac:dyDescent="0.25">
      <c r="B73" s="10"/>
      <c r="C73" s="11"/>
      <c r="D73" s="11"/>
      <c r="E73" s="11"/>
      <c r="F73" s="11"/>
      <c r="G73" s="20"/>
    </row>
    <row r="74" spans="2:7" x14ac:dyDescent="0.25">
      <c r="B74" s="10"/>
      <c r="C74" s="11"/>
      <c r="D74" s="11"/>
      <c r="E74" s="11"/>
      <c r="F74" s="11"/>
      <c r="G74" s="20"/>
    </row>
    <row r="75" spans="2:7" x14ac:dyDescent="0.25">
      <c r="B75" s="10"/>
      <c r="C75" s="11"/>
      <c r="D75" s="11"/>
      <c r="E75" s="11"/>
      <c r="F75" s="11"/>
      <c r="G75" s="20"/>
    </row>
    <row r="76" spans="2:7" x14ac:dyDescent="0.25">
      <c r="B76" s="10"/>
      <c r="C76" s="11"/>
      <c r="D76" s="11"/>
      <c r="E76" s="11"/>
      <c r="F76" s="11"/>
      <c r="G76" s="20"/>
    </row>
    <row r="77" spans="2:7" x14ac:dyDescent="0.25">
      <c r="B77" s="10"/>
      <c r="C77" s="11"/>
      <c r="D77" s="11"/>
      <c r="E77" s="11"/>
      <c r="F77" s="11"/>
      <c r="G77" s="20"/>
    </row>
    <row r="78" spans="2:7" x14ac:dyDescent="0.25">
      <c r="B78" s="10"/>
      <c r="C78" s="11"/>
      <c r="D78" s="11"/>
      <c r="E78" s="11"/>
      <c r="F78" s="11"/>
      <c r="G78" s="20"/>
    </row>
    <row r="79" spans="2:7" x14ac:dyDescent="0.25">
      <c r="B79" s="10"/>
      <c r="C79" s="11"/>
      <c r="D79" s="11"/>
      <c r="E79" s="11"/>
      <c r="F79" s="11"/>
      <c r="G79" s="20"/>
    </row>
    <row r="80" spans="2:7" x14ac:dyDescent="0.25">
      <c r="B80" s="10"/>
      <c r="C80" s="11"/>
      <c r="D80" s="11"/>
      <c r="E80" s="11"/>
      <c r="F80" s="11"/>
      <c r="G80" s="20"/>
    </row>
    <row r="81" spans="2:7" x14ac:dyDescent="0.25">
      <c r="B81" s="10"/>
      <c r="C81" s="11"/>
      <c r="D81" s="11"/>
      <c r="E81" s="11"/>
      <c r="F81" s="11"/>
      <c r="G81" s="20"/>
    </row>
    <row r="82" spans="2:7" x14ac:dyDescent="0.25">
      <c r="B82" s="10"/>
      <c r="C82" s="11"/>
      <c r="D82" s="11"/>
      <c r="E82" s="11"/>
      <c r="F82" s="11"/>
      <c r="G82" s="20"/>
    </row>
    <row r="83" spans="2:7" x14ac:dyDescent="0.25">
      <c r="B83" s="10"/>
      <c r="C83" s="11"/>
      <c r="D83" s="11"/>
      <c r="E83" s="11"/>
      <c r="F83" s="11"/>
      <c r="G83" s="20"/>
    </row>
    <row r="84" spans="2:7" x14ac:dyDescent="0.25">
      <c r="B84" s="10"/>
      <c r="C84" s="11"/>
      <c r="D84" s="11"/>
      <c r="E84" s="11"/>
      <c r="F84" s="11"/>
      <c r="G84" s="20"/>
    </row>
    <row r="85" spans="2:7" x14ac:dyDescent="0.25">
      <c r="B85" s="10"/>
      <c r="C85" s="11"/>
      <c r="D85" s="11"/>
      <c r="E85" s="11"/>
      <c r="F85" s="11"/>
      <c r="G85" s="20"/>
    </row>
    <row r="86" spans="2:7" x14ac:dyDescent="0.25">
      <c r="B86" s="10"/>
      <c r="C86" s="11"/>
      <c r="D86" s="11"/>
      <c r="E86" s="11"/>
      <c r="F86" s="11"/>
      <c r="G86" s="20"/>
    </row>
    <row r="87" spans="2:7" x14ac:dyDescent="0.25">
      <c r="B87" s="10"/>
      <c r="C87" s="11"/>
      <c r="D87" s="11"/>
      <c r="E87" s="11"/>
      <c r="F87" s="11"/>
      <c r="G87" s="20"/>
    </row>
    <row r="88" spans="2:7" x14ac:dyDescent="0.25">
      <c r="B88" s="10"/>
      <c r="C88" s="11"/>
      <c r="D88" s="11"/>
      <c r="E88" s="11"/>
      <c r="F88" s="11"/>
      <c r="G88" s="20"/>
    </row>
    <row r="89" spans="2:7" x14ac:dyDescent="0.25">
      <c r="B89" s="10"/>
      <c r="C89" s="11"/>
      <c r="D89" s="11"/>
      <c r="E89" s="11"/>
      <c r="F89" s="11"/>
      <c r="G89" s="20"/>
    </row>
    <row r="90" spans="2:7" x14ac:dyDescent="0.25">
      <c r="B90" s="10"/>
      <c r="C90" s="11"/>
      <c r="D90" s="11"/>
      <c r="E90" s="11"/>
      <c r="F90" s="11"/>
      <c r="G90" s="20"/>
    </row>
    <row r="91" spans="2:7" x14ac:dyDescent="0.25">
      <c r="B91" s="10"/>
      <c r="C91" s="11"/>
      <c r="D91" s="11"/>
      <c r="E91" s="11"/>
      <c r="F91" s="11"/>
      <c r="G91" s="20"/>
    </row>
    <row r="92" spans="2:7" x14ac:dyDescent="0.25">
      <c r="B92" s="10"/>
      <c r="C92" s="11"/>
      <c r="D92" s="11"/>
      <c r="E92" s="11"/>
      <c r="F92" s="11"/>
      <c r="G92" s="20"/>
    </row>
    <row r="93" spans="2:7" x14ac:dyDescent="0.25">
      <c r="B93" s="10"/>
      <c r="C93" s="11"/>
      <c r="D93" s="11"/>
      <c r="E93" s="11"/>
      <c r="F93" s="11"/>
      <c r="G93" s="20"/>
    </row>
    <row r="94" spans="2:7" x14ac:dyDescent="0.25">
      <c r="B94" s="10"/>
      <c r="C94" s="11"/>
      <c r="D94" s="11"/>
      <c r="E94" s="11"/>
      <c r="F94" s="11"/>
      <c r="G94" s="20"/>
    </row>
    <row r="95" spans="2:7" x14ac:dyDescent="0.25">
      <c r="B95" s="10"/>
      <c r="C95" s="11"/>
      <c r="D95" s="11"/>
      <c r="E95" s="11"/>
      <c r="F95" s="11"/>
      <c r="G95" s="20"/>
    </row>
    <row r="96" spans="2:7" x14ac:dyDescent="0.25">
      <c r="B96" s="10"/>
      <c r="C96" s="11"/>
      <c r="D96" s="11"/>
      <c r="E96" s="11"/>
      <c r="F96" s="11"/>
      <c r="G96" s="20"/>
    </row>
    <row r="97" spans="2:7" x14ac:dyDescent="0.25">
      <c r="B97" s="10"/>
      <c r="C97" s="11"/>
      <c r="D97" s="11"/>
      <c r="E97" s="11"/>
      <c r="F97" s="11"/>
      <c r="G97" s="20"/>
    </row>
    <row r="98" spans="2:7" x14ac:dyDescent="0.25">
      <c r="B98" s="10"/>
      <c r="C98" s="11"/>
      <c r="D98" s="11"/>
      <c r="E98" s="11"/>
      <c r="F98" s="11"/>
      <c r="G98" s="20"/>
    </row>
    <row r="99" spans="2:7" x14ac:dyDescent="0.25">
      <c r="B99" s="10"/>
      <c r="C99" s="11"/>
      <c r="D99" s="11"/>
      <c r="E99" s="11"/>
      <c r="F99" s="11"/>
      <c r="G99" s="20"/>
    </row>
    <row r="100" spans="2:7" x14ac:dyDescent="0.25">
      <c r="B100" s="347"/>
      <c r="C100" s="347"/>
      <c r="D100" s="347"/>
      <c r="E100" s="347"/>
      <c r="F100" s="347"/>
      <c r="G100" s="347"/>
    </row>
  </sheetData>
  <mergeCells count="2">
    <mergeCell ref="B2:G2"/>
    <mergeCell ref="B67:G67"/>
  </mergeCells>
  <pageMargins left="0.7" right="0.7" top="0.75" bottom="0.75" header="0.3" footer="0.3"/>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AF155"/>
  <sheetViews>
    <sheetView workbookViewId="0"/>
  </sheetViews>
  <sheetFormatPr defaultColWidth="8.875" defaultRowHeight="15.75" x14ac:dyDescent="0.25"/>
  <cols>
    <col min="1" max="1" width="2.5" customWidth="1"/>
    <col min="2" max="3" width="1.875" customWidth="1"/>
    <col min="4" max="4" width="41.5" customWidth="1"/>
    <col min="5" max="5" width="11.125" customWidth="1"/>
    <col min="6" max="6" width="12" style="88" customWidth="1"/>
    <col min="7" max="7" width="12.375" style="151" customWidth="1"/>
    <col min="8" max="30" width="12" customWidth="1"/>
    <col min="31" max="32" width="11.5" bestFit="1" customWidth="1"/>
    <col min="33" max="33" width="7.625" bestFit="1" customWidth="1"/>
    <col min="34" max="34" width="6.875" customWidth="1"/>
  </cols>
  <sheetData>
    <row r="2" spans="2:7" x14ac:dyDescent="0.25">
      <c r="B2" s="762" t="s">
        <v>489</v>
      </c>
      <c r="C2" s="763"/>
      <c r="D2" s="763"/>
      <c r="E2" s="763"/>
      <c r="F2" s="764"/>
      <c r="G2" s="183"/>
    </row>
    <row r="3" spans="2:7" x14ac:dyDescent="0.25">
      <c r="B3" s="715" t="s">
        <v>439</v>
      </c>
      <c r="C3" s="716"/>
      <c r="D3" s="716"/>
      <c r="E3" s="716"/>
      <c r="F3" s="717"/>
      <c r="G3" s="182"/>
    </row>
    <row r="4" spans="2:7" x14ac:dyDescent="0.25">
      <c r="B4" s="708" t="s">
        <v>3</v>
      </c>
      <c r="C4" s="709"/>
      <c r="D4" s="709"/>
      <c r="E4" s="141" t="s">
        <v>5</v>
      </c>
      <c r="F4" s="140" t="s">
        <v>4</v>
      </c>
      <c r="G4" s="185"/>
    </row>
    <row r="5" spans="2:7" x14ac:dyDescent="0.25">
      <c r="B5" s="10" t="s">
        <v>549</v>
      </c>
      <c r="C5" s="11"/>
      <c r="D5" s="11"/>
      <c r="E5" s="11"/>
      <c r="F5" s="59"/>
    </row>
    <row r="6" spans="2:7" x14ac:dyDescent="0.25">
      <c r="B6" s="18"/>
      <c r="C6" s="19" t="s">
        <v>461</v>
      </c>
      <c r="D6" s="19"/>
      <c r="E6" s="442">
        <v>0.19400000000000001</v>
      </c>
      <c r="F6" s="59" t="s">
        <v>8</v>
      </c>
    </row>
    <row r="7" spans="2:7" x14ac:dyDescent="0.25">
      <c r="B7" s="18"/>
      <c r="C7" s="19" t="s">
        <v>550</v>
      </c>
      <c r="D7" s="19"/>
      <c r="E7" s="442">
        <v>0.34399999999999997</v>
      </c>
      <c r="F7" s="59" t="s">
        <v>8</v>
      </c>
    </row>
    <row r="8" spans="2:7" x14ac:dyDescent="0.25">
      <c r="B8" s="26"/>
      <c r="C8" s="29"/>
      <c r="D8" s="29"/>
      <c r="E8" s="29"/>
      <c r="F8" s="614"/>
    </row>
    <row r="9" spans="2:7" x14ac:dyDescent="0.25">
      <c r="B9" s="715" t="s">
        <v>484</v>
      </c>
      <c r="C9" s="716"/>
      <c r="D9" s="716"/>
      <c r="E9" s="716"/>
      <c r="F9" s="717"/>
    </row>
    <row r="10" spans="2:7" x14ac:dyDescent="0.25">
      <c r="B10" s="708" t="s">
        <v>3</v>
      </c>
      <c r="C10" s="709"/>
      <c r="D10" s="709"/>
      <c r="E10" s="141" t="s">
        <v>5</v>
      </c>
      <c r="F10" s="140" t="s">
        <v>4</v>
      </c>
    </row>
    <row r="11" spans="2:7" x14ac:dyDescent="0.25">
      <c r="B11" s="10" t="s">
        <v>551</v>
      </c>
      <c r="C11" s="11"/>
      <c r="D11" s="11"/>
      <c r="E11" s="11"/>
      <c r="F11" s="59"/>
    </row>
    <row r="12" spans="2:7" x14ac:dyDescent="0.25">
      <c r="B12" s="10"/>
      <c r="C12" s="11" t="s">
        <v>461</v>
      </c>
      <c r="D12" s="11"/>
      <c r="E12" s="134">
        <v>0.1</v>
      </c>
      <c r="F12" s="59" t="s">
        <v>7</v>
      </c>
    </row>
    <row r="13" spans="2:7" x14ac:dyDescent="0.25">
      <c r="B13" s="10"/>
      <c r="C13" s="11" t="s">
        <v>550</v>
      </c>
      <c r="D13" s="11"/>
      <c r="E13" s="134">
        <v>0.1</v>
      </c>
      <c r="F13" s="59" t="s">
        <v>7</v>
      </c>
    </row>
    <row r="14" spans="2:7" x14ac:dyDescent="0.25">
      <c r="B14" s="10"/>
      <c r="C14" s="11"/>
      <c r="D14" s="11"/>
      <c r="E14" s="11"/>
      <c r="F14" s="59"/>
    </row>
    <row r="15" spans="2:7" x14ac:dyDescent="0.25">
      <c r="B15" s="10" t="s">
        <v>527</v>
      </c>
      <c r="C15" s="11"/>
      <c r="D15" s="11"/>
      <c r="E15" s="510" t="b">
        <v>0</v>
      </c>
      <c r="F15" s="59" t="s">
        <v>87</v>
      </c>
    </row>
    <row r="16" spans="2:7" x14ac:dyDescent="0.25">
      <c r="B16" s="10"/>
      <c r="C16" s="11" t="s">
        <v>524</v>
      </c>
      <c r="D16" s="11"/>
      <c r="E16" s="134">
        <v>5.8000000000000003E-2</v>
      </c>
      <c r="F16" s="59" t="s">
        <v>7</v>
      </c>
    </row>
    <row r="17" spans="2:16" x14ac:dyDescent="0.25">
      <c r="B17" s="10"/>
      <c r="C17" s="11" t="s">
        <v>525</v>
      </c>
      <c r="D17" s="11"/>
      <c r="E17" s="134">
        <v>5.8000000000000003E-2</v>
      </c>
      <c r="F17" s="59" t="s">
        <v>7</v>
      </c>
    </row>
    <row r="18" spans="2:16" x14ac:dyDescent="0.25">
      <c r="B18" s="10"/>
      <c r="C18" s="11" t="s">
        <v>526</v>
      </c>
      <c r="D18" s="11"/>
      <c r="E18" s="134">
        <v>5.8000000000000003E-2</v>
      </c>
      <c r="F18" s="59" t="s">
        <v>7</v>
      </c>
    </row>
    <row r="19" spans="2:16" x14ac:dyDescent="0.25">
      <c r="B19" s="26"/>
      <c r="C19" s="29"/>
      <c r="D19" s="29"/>
      <c r="E19" s="29"/>
      <c r="F19" s="614"/>
      <c r="K19" s="674"/>
      <c r="L19" s="654"/>
    </row>
    <row r="20" spans="2:16" x14ac:dyDescent="0.25">
      <c r="B20" s="756" t="s">
        <v>555</v>
      </c>
      <c r="C20" s="757"/>
      <c r="D20" s="757"/>
      <c r="E20" s="757"/>
      <c r="F20" s="758"/>
    </row>
    <row r="21" spans="2:16" x14ac:dyDescent="0.25">
      <c r="B21" s="708" t="s">
        <v>3</v>
      </c>
      <c r="C21" s="709"/>
      <c r="D21" s="709"/>
      <c r="E21" s="141" t="s">
        <v>5</v>
      </c>
      <c r="F21" s="140" t="s">
        <v>4</v>
      </c>
    </row>
    <row r="22" spans="2:16" x14ac:dyDescent="0.25">
      <c r="B22" s="104" t="s">
        <v>547</v>
      </c>
      <c r="C22" s="25"/>
      <c r="D22" s="25"/>
      <c r="E22" s="641"/>
      <c r="F22" s="106"/>
      <c r="K22" s="440"/>
      <c r="L22" s="440"/>
      <c r="O22" s="440"/>
      <c r="P22" s="440"/>
    </row>
    <row r="23" spans="2:16" x14ac:dyDescent="0.25">
      <c r="B23" s="104"/>
      <c r="C23" s="25" t="s">
        <v>552</v>
      </c>
      <c r="D23" s="25"/>
      <c r="E23" s="641">
        <v>170</v>
      </c>
      <c r="F23" s="106" t="s">
        <v>534</v>
      </c>
      <c r="K23" s="440"/>
      <c r="L23" s="674"/>
      <c r="O23" s="440"/>
      <c r="P23" s="674"/>
    </row>
    <row r="24" spans="2:16" x14ac:dyDescent="0.25">
      <c r="B24" s="104"/>
      <c r="C24" s="25" t="s">
        <v>553</v>
      </c>
      <c r="D24" s="25"/>
      <c r="E24" s="642">
        <v>0</v>
      </c>
      <c r="F24" s="106" t="s">
        <v>548</v>
      </c>
      <c r="K24" s="674"/>
      <c r="L24" s="440"/>
      <c r="O24" s="674"/>
      <c r="P24" s="440"/>
    </row>
    <row r="25" spans="2:16" x14ac:dyDescent="0.25">
      <c r="B25" s="536"/>
      <c r="C25" s="542"/>
      <c r="D25" s="542"/>
      <c r="E25" s="542"/>
      <c r="F25" s="667"/>
      <c r="K25" s="674"/>
      <c r="L25" s="440"/>
      <c r="O25" s="674"/>
      <c r="P25" s="440"/>
    </row>
    <row r="26" spans="2:16" x14ac:dyDescent="0.25">
      <c r="B26" s="715" t="s">
        <v>485</v>
      </c>
      <c r="C26" s="716"/>
      <c r="D26" s="716"/>
      <c r="E26" s="716"/>
      <c r="F26" s="717"/>
      <c r="J26" s="675"/>
      <c r="K26" s="440"/>
      <c r="L26" s="440"/>
      <c r="N26" s="675"/>
      <c r="O26" s="440"/>
      <c r="P26" s="440"/>
    </row>
    <row r="27" spans="2:16" x14ac:dyDescent="0.25">
      <c r="B27" s="708" t="s">
        <v>3</v>
      </c>
      <c r="C27" s="709"/>
      <c r="D27" s="709"/>
      <c r="E27" s="141" t="s">
        <v>5</v>
      </c>
      <c r="F27" s="140" t="s">
        <v>4</v>
      </c>
      <c r="K27" s="440"/>
      <c r="L27" s="673"/>
      <c r="O27" s="440"/>
      <c r="P27" s="673"/>
    </row>
    <row r="28" spans="2:16" x14ac:dyDescent="0.25">
      <c r="B28" s="10" t="s">
        <v>437</v>
      </c>
      <c r="C28" s="11"/>
      <c r="D28" s="21"/>
      <c r="E28" s="11"/>
      <c r="F28" s="59"/>
    </row>
    <row r="29" spans="2:16" x14ac:dyDescent="0.25">
      <c r="B29" s="10"/>
      <c r="C29" s="11" t="s">
        <v>425</v>
      </c>
      <c r="D29" s="21"/>
      <c r="E29" s="162">
        <v>-343</v>
      </c>
      <c r="F29" s="59" t="s">
        <v>116</v>
      </c>
      <c r="H29" s="440"/>
      <c r="I29" s="674"/>
    </row>
    <row r="30" spans="2:16" x14ac:dyDescent="0.25">
      <c r="B30" s="10"/>
      <c r="C30" s="11" t="s">
        <v>424</v>
      </c>
      <c r="D30" s="21"/>
      <c r="E30" s="162">
        <v>184</v>
      </c>
      <c r="F30" s="59" t="s">
        <v>116</v>
      </c>
      <c r="I30" s="653"/>
      <c r="J30" s="673"/>
      <c r="M30" s="440"/>
    </row>
    <row r="31" spans="2:16" x14ac:dyDescent="0.25">
      <c r="B31" s="10"/>
      <c r="C31" s="11" t="s">
        <v>419</v>
      </c>
      <c r="D31" s="21"/>
      <c r="E31" s="162">
        <v>200</v>
      </c>
      <c r="F31" s="59" t="s">
        <v>116</v>
      </c>
      <c r="J31" s="673"/>
    </row>
    <row r="32" spans="2:16" x14ac:dyDescent="0.25">
      <c r="B32" s="10"/>
      <c r="C32" s="11" t="s">
        <v>423</v>
      </c>
      <c r="D32" s="21"/>
      <c r="E32" s="162">
        <v>528</v>
      </c>
      <c r="F32" s="59" t="s">
        <v>116</v>
      </c>
    </row>
    <row r="33" spans="2:30" x14ac:dyDescent="0.25">
      <c r="B33" s="10"/>
      <c r="C33" s="11"/>
      <c r="D33" s="21"/>
      <c r="E33" s="162"/>
      <c r="F33" s="59"/>
    </row>
    <row r="34" spans="2:30" x14ac:dyDescent="0.25">
      <c r="B34" s="10" t="s">
        <v>523</v>
      </c>
      <c r="C34" s="11"/>
      <c r="D34" s="21"/>
      <c r="E34" s="162"/>
      <c r="F34" s="59"/>
    </row>
    <row r="35" spans="2:30" x14ac:dyDescent="0.25">
      <c r="B35" s="10"/>
      <c r="C35" s="11" t="s">
        <v>425</v>
      </c>
      <c r="D35" s="21"/>
      <c r="E35" s="162">
        <v>-345</v>
      </c>
      <c r="F35" s="59" t="s">
        <v>116</v>
      </c>
      <c r="H35" s="440"/>
      <c r="I35" s="674"/>
    </row>
    <row r="36" spans="2:30" x14ac:dyDescent="0.25">
      <c r="B36" s="10"/>
      <c r="C36" s="11" t="s">
        <v>424</v>
      </c>
      <c r="D36" s="21"/>
      <c r="E36" s="162">
        <v>1448</v>
      </c>
      <c r="F36" s="59" t="s">
        <v>116</v>
      </c>
      <c r="I36" s="653"/>
      <c r="J36" s="673"/>
    </row>
    <row r="37" spans="2:30" x14ac:dyDescent="0.25">
      <c r="B37" s="10"/>
      <c r="C37" s="11" t="s">
        <v>419</v>
      </c>
      <c r="D37" s="21"/>
      <c r="E37" s="162">
        <v>2203</v>
      </c>
      <c r="F37" s="59" t="s">
        <v>116</v>
      </c>
    </row>
    <row r="38" spans="2:30" x14ac:dyDescent="0.25">
      <c r="B38" s="10"/>
      <c r="C38" s="11" t="s">
        <v>423</v>
      </c>
      <c r="D38" s="21"/>
      <c r="E38" s="162">
        <v>1794</v>
      </c>
      <c r="F38" s="59" t="s">
        <v>116</v>
      </c>
    </row>
    <row r="39" spans="2:30" x14ac:dyDescent="0.25">
      <c r="B39" s="26"/>
      <c r="C39" s="29"/>
      <c r="D39" s="29"/>
      <c r="E39" s="29"/>
      <c r="F39" s="614"/>
    </row>
    <row r="40" spans="2:30" x14ac:dyDescent="0.25">
      <c r="B40" s="724" t="s">
        <v>486</v>
      </c>
      <c r="C40" s="725"/>
      <c r="D40" s="725"/>
      <c r="E40" s="725"/>
      <c r="F40" s="765"/>
    </row>
    <row r="41" spans="2:30" x14ac:dyDescent="0.25">
      <c r="B41" s="708" t="s">
        <v>3</v>
      </c>
      <c r="C41" s="709"/>
      <c r="D41" s="709"/>
      <c r="E41" s="610" t="s">
        <v>24</v>
      </c>
      <c r="F41" s="610" t="s">
        <v>0</v>
      </c>
      <c r="G41" s="610" t="s">
        <v>1</v>
      </c>
      <c r="H41" s="610" t="s">
        <v>9</v>
      </c>
      <c r="I41" s="610" t="s">
        <v>10</v>
      </c>
      <c r="J41" s="610" t="s">
        <v>11</v>
      </c>
      <c r="K41" s="610" t="s">
        <v>12</v>
      </c>
      <c r="L41" s="610" t="s">
        <v>13</v>
      </c>
      <c r="M41" s="610" t="s">
        <v>14</v>
      </c>
      <c r="N41" s="610" t="s">
        <v>15</v>
      </c>
      <c r="O41" s="610" t="s">
        <v>16</v>
      </c>
      <c r="P41" s="610" t="s">
        <v>39</v>
      </c>
      <c r="Q41" s="610" t="s">
        <v>41</v>
      </c>
      <c r="R41" s="610" t="s">
        <v>42</v>
      </c>
      <c r="S41" s="610" t="s">
        <v>43</v>
      </c>
      <c r="T41" s="610" t="s">
        <v>44</v>
      </c>
      <c r="U41" s="610" t="s">
        <v>45</v>
      </c>
      <c r="V41" s="610" t="s">
        <v>46</v>
      </c>
      <c r="W41" s="610" t="s">
        <v>47</v>
      </c>
      <c r="X41" s="610" t="s">
        <v>48</v>
      </c>
      <c r="Y41" s="610" t="s">
        <v>49</v>
      </c>
      <c r="Z41" s="610" t="s">
        <v>50</v>
      </c>
      <c r="AA41" s="610" t="s">
        <v>51</v>
      </c>
      <c r="AB41" s="610" t="s">
        <v>52</v>
      </c>
      <c r="AC41" s="610" t="s">
        <v>53</v>
      </c>
      <c r="AD41" s="611" t="s">
        <v>54</v>
      </c>
    </row>
    <row r="42" spans="2:30" x14ac:dyDescent="0.25">
      <c r="B42" s="10" t="s">
        <v>437</v>
      </c>
      <c r="C42" s="11"/>
      <c r="D42" s="11"/>
      <c r="E42" s="272" t="s">
        <v>116</v>
      </c>
      <c r="F42" s="272" t="s">
        <v>19</v>
      </c>
      <c r="G42" s="272" t="s">
        <v>19</v>
      </c>
      <c r="H42" s="272" t="s">
        <v>19</v>
      </c>
      <c r="I42" s="272" t="s">
        <v>19</v>
      </c>
      <c r="J42" s="272" t="s">
        <v>19</v>
      </c>
      <c r="K42" s="272" t="s">
        <v>19</v>
      </c>
      <c r="L42" s="272" t="s">
        <v>19</v>
      </c>
      <c r="M42" s="272" t="s">
        <v>19</v>
      </c>
      <c r="N42" s="272" t="s">
        <v>19</v>
      </c>
      <c r="O42" s="272" t="s">
        <v>19</v>
      </c>
      <c r="P42" s="272" t="s">
        <v>19</v>
      </c>
      <c r="Q42" s="272" t="s">
        <v>19</v>
      </c>
      <c r="R42" s="272" t="s">
        <v>19</v>
      </c>
      <c r="S42" s="272" t="s">
        <v>19</v>
      </c>
      <c r="T42" s="272" t="s">
        <v>19</v>
      </c>
      <c r="U42" s="272" t="s">
        <v>19</v>
      </c>
      <c r="V42" s="272" t="s">
        <v>19</v>
      </c>
      <c r="W42" s="272" t="s">
        <v>19</v>
      </c>
      <c r="X42" s="272" t="s">
        <v>19</v>
      </c>
      <c r="Y42" s="272" t="s">
        <v>19</v>
      </c>
      <c r="Z42" s="272" t="s">
        <v>19</v>
      </c>
      <c r="AA42" s="272" t="s">
        <v>19</v>
      </c>
      <c r="AB42" s="272" t="s">
        <v>19</v>
      </c>
      <c r="AC42" s="272" t="s">
        <v>19</v>
      </c>
      <c r="AD42" s="693" t="s">
        <v>19</v>
      </c>
    </row>
    <row r="43" spans="2:30" x14ac:dyDescent="0.25">
      <c r="B43" s="508" t="s">
        <v>487</v>
      </c>
      <c r="C43" s="11" t="s">
        <v>425</v>
      </c>
      <c r="D43" s="11"/>
      <c r="E43" s="11"/>
      <c r="F43" s="612"/>
      <c r="G43" s="11"/>
      <c r="H43" s="11"/>
      <c r="I43" s="11"/>
      <c r="J43" s="11"/>
      <c r="K43" s="11"/>
      <c r="L43" s="11"/>
      <c r="M43" s="11"/>
      <c r="N43" s="11"/>
      <c r="O43" s="11"/>
      <c r="P43" s="11"/>
      <c r="Q43" s="11"/>
      <c r="R43" s="11"/>
      <c r="S43" s="11"/>
      <c r="T43" s="11"/>
      <c r="U43" s="11"/>
      <c r="V43" s="11"/>
      <c r="W43" s="11"/>
      <c r="X43" s="11"/>
      <c r="Y43" s="11"/>
      <c r="Z43" s="11"/>
      <c r="AA43" s="11"/>
      <c r="AB43" s="11"/>
      <c r="AC43" s="11"/>
      <c r="AD43" s="20"/>
    </row>
    <row r="44" spans="2:30" x14ac:dyDescent="0.25">
      <c r="B44" s="10"/>
      <c r="C44" s="11"/>
      <c r="D44" s="5" t="s">
        <v>418</v>
      </c>
      <c r="E44" s="662">
        <v>0</v>
      </c>
      <c r="F44" s="671">
        <v>0</v>
      </c>
      <c r="G44" s="662">
        <v>0</v>
      </c>
      <c r="H44" s="662">
        <v>0</v>
      </c>
      <c r="I44" s="662">
        <v>0</v>
      </c>
      <c r="J44" s="662">
        <v>0</v>
      </c>
      <c r="K44" s="662">
        <v>0</v>
      </c>
      <c r="L44" s="662">
        <v>0</v>
      </c>
      <c r="M44" s="662">
        <v>0</v>
      </c>
      <c r="N44" s="662">
        <v>0</v>
      </c>
      <c r="O44" s="662">
        <v>0</v>
      </c>
      <c r="P44" s="662">
        <v>0</v>
      </c>
      <c r="Q44" s="662">
        <v>0</v>
      </c>
      <c r="R44" s="662">
        <v>0</v>
      </c>
      <c r="S44" s="662">
        <v>0</v>
      </c>
      <c r="T44" s="662">
        <v>0</v>
      </c>
      <c r="U44" s="662">
        <v>0</v>
      </c>
      <c r="V44" s="662">
        <v>0</v>
      </c>
      <c r="W44" s="662">
        <v>0</v>
      </c>
      <c r="X44" s="662">
        <v>0</v>
      </c>
      <c r="Y44" s="662">
        <v>0</v>
      </c>
      <c r="Z44" s="662">
        <v>0</v>
      </c>
      <c r="AA44" s="662">
        <v>0</v>
      </c>
      <c r="AB44" s="662">
        <v>0</v>
      </c>
      <c r="AC44" s="662">
        <v>0</v>
      </c>
      <c r="AD44" s="663">
        <v>0</v>
      </c>
    </row>
    <row r="45" spans="2:30" x14ac:dyDescent="0.25">
      <c r="B45" s="10"/>
      <c r="C45" s="11"/>
      <c r="D45" s="51" t="s">
        <v>416</v>
      </c>
      <c r="E45" s="664">
        <v>0</v>
      </c>
      <c r="F45" s="672">
        <v>0</v>
      </c>
      <c r="G45" s="664">
        <v>0</v>
      </c>
      <c r="H45" s="664">
        <v>0</v>
      </c>
      <c r="I45" s="664">
        <v>0</v>
      </c>
      <c r="J45" s="664">
        <v>0</v>
      </c>
      <c r="K45" s="664">
        <v>0</v>
      </c>
      <c r="L45" s="664">
        <v>0</v>
      </c>
      <c r="M45" s="664">
        <v>0</v>
      </c>
      <c r="N45" s="664">
        <v>0</v>
      </c>
      <c r="O45" s="664">
        <v>0</v>
      </c>
      <c r="P45" s="664">
        <v>0</v>
      </c>
      <c r="Q45" s="664">
        <v>0</v>
      </c>
      <c r="R45" s="664">
        <v>0</v>
      </c>
      <c r="S45" s="664">
        <v>0</v>
      </c>
      <c r="T45" s="664">
        <v>0</v>
      </c>
      <c r="U45" s="664">
        <v>0</v>
      </c>
      <c r="V45" s="664">
        <v>0</v>
      </c>
      <c r="W45" s="664">
        <v>0</v>
      </c>
      <c r="X45" s="664">
        <v>0</v>
      </c>
      <c r="Y45" s="664">
        <v>0</v>
      </c>
      <c r="Z45" s="664">
        <v>0</v>
      </c>
      <c r="AA45" s="664">
        <v>0</v>
      </c>
      <c r="AB45" s="664">
        <v>0</v>
      </c>
      <c r="AC45" s="664">
        <v>0</v>
      </c>
      <c r="AD45" s="665">
        <v>0</v>
      </c>
    </row>
    <row r="46" spans="2:30" x14ac:dyDescent="0.25">
      <c r="B46" s="10"/>
      <c r="C46" s="11" t="s">
        <v>424</v>
      </c>
      <c r="D46" s="11"/>
      <c r="E46" s="162"/>
      <c r="F46" s="85"/>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666"/>
    </row>
    <row r="47" spans="2:30" x14ac:dyDescent="0.25">
      <c r="B47" s="10"/>
      <c r="C47" s="11"/>
      <c r="D47" s="5" t="s">
        <v>418</v>
      </c>
      <c r="E47" s="662">
        <v>0</v>
      </c>
      <c r="F47" s="671">
        <v>0</v>
      </c>
      <c r="G47" s="662">
        <v>0</v>
      </c>
      <c r="H47" s="662">
        <v>0</v>
      </c>
      <c r="I47" s="662">
        <v>0</v>
      </c>
      <c r="J47" s="662">
        <v>0</v>
      </c>
      <c r="K47" s="662">
        <v>0</v>
      </c>
      <c r="L47" s="662">
        <v>0</v>
      </c>
      <c r="M47" s="662">
        <v>0</v>
      </c>
      <c r="N47" s="662">
        <v>0</v>
      </c>
      <c r="O47" s="662">
        <v>0</v>
      </c>
      <c r="P47" s="662">
        <v>0</v>
      </c>
      <c r="Q47" s="662">
        <v>0</v>
      </c>
      <c r="R47" s="662">
        <v>0</v>
      </c>
      <c r="S47" s="662">
        <v>0</v>
      </c>
      <c r="T47" s="662">
        <v>0</v>
      </c>
      <c r="U47" s="662">
        <v>0</v>
      </c>
      <c r="V47" s="662">
        <v>0</v>
      </c>
      <c r="W47" s="662">
        <v>0</v>
      </c>
      <c r="X47" s="662">
        <v>0</v>
      </c>
      <c r="Y47" s="662">
        <v>0</v>
      </c>
      <c r="Z47" s="662">
        <v>0</v>
      </c>
      <c r="AA47" s="662">
        <v>0</v>
      </c>
      <c r="AB47" s="662">
        <v>0</v>
      </c>
      <c r="AC47" s="662">
        <v>0</v>
      </c>
      <c r="AD47" s="663">
        <v>0</v>
      </c>
    </row>
    <row r="48" spans="2:30" x14ac:dyDescent="0.25">
      <c r="B48" s="10"/>
      <c r="C48" s="11"/>
      <c r="D48" s="51" t="s">
        <v>416</v>
      </c>
      <c r="E48" s="664">
        <v>0</v>
      </c>
      <c r="F48" s="672">
        <v>0</v>
      </c>
      <c r="G48" s="664">
        <v>0</v>
      </c>
      <c r="H48" s="664">
        <v>0</v>
      </c>
      <c r="I48" s="664">
        <v>0</v>
      </c>
      <c r="J48" s="664">
        <v>0</v>
      </c>
      <c r="K48" s="664">
        <v>0</v>
      </c>
      <c r="L48" s="664">
        <v>0</v>
      </c>
      <c r="M48" s="664">
        <v>0</v>
      </c>
      <c r="N48" s="664">
        <v>0</v>
      </c>
      <c r="O48" s="664">
        <v>0</v>
      </c>
      <c r="P48" s="664">
        <v>0</v>
      </c>
      <c r="Q48" s="664">
        <v>0</v>
      </c>
      <c r="R48" s="664">
        <v>0</v>
      </c>
      <c r="S48" s="664">
        <v>0</v>
      </c>
      <c r="T48" s="664">
        <v>0</v>
      </c>
      <c r="U48" s="664">
        <v>0</v>
      </c>
      <c r="V48" s="664">
        <v>0</v>
      </c>
      <c r="W48" s="664">
        <v>0</v>
      </c>
      <c r="X48" s="664">
        <v>0</v>
      </c>
      <c r="Y48" s="664">
        <v>0</v>
      </c>
      <c r="Z48" s="664">
        <v>0</v>
      </c>
      <c r="AA48" s="664">
        <v>0</v>
      </c>
      <c r="AB48" s="664">
        <v>0</v>
      </c>
      <c r="AC48" s="664">
        <v>0</v>
      </c>
      <c r="AD48" s="665">
        <v>0</v>
      </c>
    </row>
    <row r="49" spans="2:30" x14ac:dyDescent="0.25">
      <c r="B49" s="10"/>
      <c r="C49" s="11" t="s">
        <v>419</v>
      </c>
      <c r="D49" s="11"/>
      <c r="E49" s="162"/>
      <c r="F49" s="85"/>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666"/>
    </row>
    <row r="50" spans="2:30" x14ac:dyDescent="0.25">
      <c r="B50" s="10"/>
      <c r="C50" s="11"/>
      <c r="D50" s="5" t="s">
        <v>418</v>
      </c>
      <c r="E50" s="662">
        <v>0</v>
      </c>
      <c r="F50" s="671">
        <v>0</v>
      </c>
      <c r="G50" s="662">
        <v>0</v>
      </c>
      <c r="H50" s="662">
        <v>0</v>
      </c>
      <c r="I50" s="662">
        <v>0</v>
      </c>
      <c r="J50" s="662">
        <v>0</v>
      </c>
      <c r="K50" s="662">
        <v>0</v>
      </c>
      <c r="L50" s="662">
        <v>0</v>
      </c>
      <c r="M50" s="662">
        <v>0</v>
      </c>
      <c r="N50" s="662">
        <v>0</v>
      </c>
      <c r="O50" s="662">
        <v>0</v>
      </c>
      <c r="P50" s="662">
        <v>0</v>
      </c>
      <c r="Q50" s="662">
        <v>0</v>
      </c>
      <c r="R50" s="662">
        <v>0</v>
      </c>
      <c r="S50" s="662">
        <v>0</v>
      </c>
      <c r="T50" s="662">
        <v>0</v>
      </c>
      <c r="U50" s="662">
        <v>0</v>
      </c>
      <c r="V50" s="662">
        <v>0</v>
      </c>
      <c r="W50" s="662">
        <v>0</v>
      </c>
      <c r="X50" s="662">
        <v>0</v>
      </c>
      <c r="Y50" s="662">
        <v>0</v>
      </c>
      <c r="Z50" s="662">
        <v>0</v>
      </c>
      <c r="AA50" s="662">
        <v>0</v>
      </c>
      <c r="AB50" s="662">
        <v>0</v>
      </c>
      <c r="AC50" s="662">
        <v>0</v>
      </c>
      <c r="AD50" s="663">
        <v>0</v>
      </c>
    </row>
    <row r="51" spans="2:30" x14ac:dyDescent="0.25">
      <c r="B51" s="10"/>
      <c r="C51" s="11"/>
      <c r="D51" s="51" t="s">
        <v>416</v>
      </c>
      <c r="E51" s="664">
        <v>0</v>
      </c>
      <c r="F51" s="672">
        <v>0</v>
      </c>
      <c r="G51" s="664">
        <v>0</v>
      </c>
      <c r="H51" s="664">
        <v>0</v>
      </c>
      <c r="I51" s="664">
        <v>0</v>
      </c>
      <c r="J51" s="664">
        <v>0</v>
      </c>
      <c r="K51" s="664">
        <v>0</v>
      </c>
      <c r="L51" s="664">
        <v>0</v>
      </c>
      <c r="M51" s="664">
        <v>0</v>
      </c>
      <c r="N51" s="664">
        <v>0</v>
      </c>
      <c r="O51" s="664">
        <v>0</v>
      </c>
      <c r="P51" s="664">
        <v>0</v>
      </c>
      <c r="Q51" s="664">
        <v>0</v>
      </c>
      <c r="R51" s="664">
        <v>0</v>
      </c>
      <c r="S51" s="664">
        <v>0</v>
      </c>
      <c r="T51" s="664">
        <v>0</v>
      </c>
      <c r="U51" s="664">
        <v>0</v>
      </c>
      <c r="V51" s="664">
        <v>0</v>
      </c>
      <c r="W51" s="664">
        <v>0</v>
      </c>
      <c r="X51" s="664">
        <v>0</v>
      </c>
      <c r="Y51" s="664">
        <v>0</v>
      </c>
      <c r="Z51" s="664">
        <v>0</v>
      </c>
      <c r="AA51" s="664">
        <v>0</v>
      </c>
      <c r="AB51" s="664">
        <v>0</v>
      </c>
      <c r="AC51" s="664">
        <v>0</v>
      </c>
      <c r="AD51" s="665">
        <v>0</v>
      </c>
    </row>
    <row r="52" spans="2:30" x14ac:dyDescent="0.25">
      <c r="B52" s="10"/>
      <c r="C52" s="11" t="s">
        <v>423</v>
      </c>
      <c r="D52" s="11"/>
      <c r="E52" s="162"/>
      <c r="F52" s="85"/>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666"/>
    </row>
    <row r="53" spans="2:30" x14ac:dyDescent="0.25">
      <c r="B53" s="10"/>
      <c r="C53" s="11"/>
      <c r="D53" s="5" t="s">
        <v>418</v>
      </c>
      <c r="E53" s="662">
        <v>0</v>
      </c>
      <c r="F53" s="671">
        <v>0</v>
      </c>
      <c r="G53" s="662">
        <v>0</v>
      </c>
      <c r="H53" s="662">
        <v>0</v>
      </c>
      <c r="I53" s="662">
        <v>0</v>
      </c>
      <c r="J53" s="662">
        <v>0</v>
      </c>
      <c r="K53" s="662">
        <v>0</v>
      </c>
      <c r="L53" s="662">
        <v>0</v>
      </c>
      <c r="M53" s="662">
        <v>0</v>
      </c>
      <c r="N53" s="662">
        <v>0</v>
      </c>
      <c r="O53" s="662">
        <v>0</v>
      </c>
      <c r="P53" s="662">
        <v>0</v>
      </c>
      <c r="Q53" s="662">
        <v>0</v>
      </c>
      <c r="R53" s="662">
        <v>0</v>
      </c>
      <c r="S53" s="662">
        <v>0</v>
      </c>
      <c r="T53" s="662">
        <v>0</v>
      </c>
      <c r="U53" s="662">
        <v>0</v>
      </c>
      <c r="V53" s="662">
        <v>0</v>
      </c>
      <c r="W53" s="662">
        <v>0</v>
      </c>
      <c r="X53" s="662">
        <v>0</v>
      </c>
      <c r="Y53" s="662">
        <v>0</v>
      </c>
      <c r="Z53" s="662">
        <v>0</v>
      </c>
      <c r="AA53" s="662">
        <v>0</v>
      </c>
      <c r="AB53" s="662">
        <v>0</v>
      </c>
      <c r="AC53" s="662">
        <v>0</v>
      </c>
      <c r="AD53" s="663">
        <v>0</v>
      </c>
    </row>
    <row r="54" spans="2:30" x14ac:dyDescent="0.25">
      <c r="B54" s="10"/>
      <c r="C54" s="11"/>
      <c r="D54" s="51" t="s">
        <v>416</v>
      </c>
      <c r="E54" s="664">
        <v>0</v>
      </c>
      <c r="F54" s="672">
        <v>0</v>
      </c>
      <c r="G54" s="664">
        <v>0</v>
      </c>
      <c r="H54" s="664">
        <v>0</v>
      </c>
      <c r="I54" s="664">
        <v>0</v>
      </c>
      <c r="J54" s="664">
        <v>0</v>
      </c>
      <c r="K54" s="664">
        <v>0</v>
      </c>
      <c r="L54" s="664">
        <v>0</v>
      </c>
      <c r="M54" s="664">
        <v>0</v>
      </c>
      <c r="N54" s="664">
        <v>0</v>
      </c>
      <c r="O54" s="664">
        <v>0</v>
      </c>
      <c r="P54" s="664">
        <v>0</v>
      </c>
      <c r="Q54" s="664">
        <v>0</v>
      </c>
      <c r="R54" s="664">
        <v>0</v>
      </c>
      <c r="S54" s="664">
        <v>0</v>
      </c>
      <c r="T54" s="664">
        <v>0</v>
      </c>
      <c r="U54" s="664">
        <v>0</v>
      </c>
      <c r="V54" s="664">
        <v>0</v>
      </c>
      <c r="W54" s="664">
        <v>0</v>
      </c>
      <c r="X54" s="664">
        <v>0</v>
      </c>
      <c r="Y54" s="664">
        <v>0</v>
      </c>
      <c r="Z54" s="664">
        <v>0</v>
      </c>
      <c r="AA54" s="664">
        <v>0</v>
      </c>
      <c r="AB54" s="664">
        <v>0</v>
      </c>
      <c r="AC54" s="664">
        <v>0</v>
      </c>
      <c r="AD54" s="665">
        <v>0</v>
      </c>
    </row>
    <row r="55" spans="2:30" x14ac:dyDescent="0.25">
      <c r="B55" s="10"/>
      <c r="C55" s="11"/>
      <c r="D55" s="11"/>
      <c r="E55" s="162"/>
      <c r="F55" s="85"/>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666"/>
    </row>
    <row r="56" spans="2:30" x14ac:dyDescent="0.25">
      <c r="B56" s="10" t="s">
        <v>488</v>
      </c>
      <c r="C56" s="11"/>
      <c r="D56" s="11"/>
      <c r="E56" s="162"/>
      <c r="F56" s="85"/>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666"/>
    </row>
    <row r="57" spans="2:30" x14ac:dyDescent="0.25">
      <c r="B57" s="10"/>
      <c r="C57" s="11" t="s">
        <v>425</v>
      </c>
      <c r="D57" s="11"/>
      <c r="E57" s="162"/>
      <c r="F57" s="85"/>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666"/>
    </row>
    <row r="58" spans="2:30" x14ac:dyDescent="0.25">
      <c r="B58" s="10"/>
      <c r="C58" s="11"/>
      <c r="D58" s="5" t="s">
        <v>418</v>
      </c>
      <c r="E58" s="662">
        <v>0</v>
      </c>
      <c r="F58" s="671">
        <v>0</v>
      </c>
      <c r="G58" s="662">
        <v>0</v>
      </c>
      <c r="H58" s="662">
        <v>0</v>
      </c>
      <c r="I58" s="662">
        <v>0</v>
      </c>
      <c r="J58" s="662">
        <v>0</v>
      </c>
      <c r="K58" s="662">
        <v>0</v>
      </c>
      <c r="L58" s="662">
        <v>0</v>
      </c>
      <c r="M58" s="662">
        <v>0</v>
      </c>
      <c r="N58" s="662">
        <v>0</v>
      </c>
      <c r="O58" s="662">
        <v>0</v>
      </c>
      <c r="P58" s="662">
        <v>0</v>
      </c>
      <c r="Q58" s="662">
        <v>0</v>
      </c>
      <c r="R58" s="662">
        <v>0</v>
      </c>
      <c r="S58" s="662">
        <v>0</v>
      </c>
      <c r="T58" s="662">
        <v>0</v>
      </c>
      <c r="U58" s="662">
        <v>0</v>
      </c>
      <c r="V58" s="662">
        <v>0</v>
      </c>
      <c r="W58" s="662">
        <v>0</v>
      </c>
      <c r="X58" s="662">
        <v>0</v>
      </c>
      <c r="Y58" s="662">
        <v>0</v>
      </c>
      <c r="Z58" s="662">
        <v>0</v>
      </c>
      <c r="AA58" s="662">
        <v>0</v>
      </c>
      <c r="AB58" s="662">
        <v>0</v>
      </c>
      <c r="AC58" s="662">
        <v>0</v>
      </c>
      <c r="AD58" s="663">
        <v>0</v>
      </c>
    </row>
    <row r="59" spans="2:30" x14ac:dyDescent="0.25">
      <c r="B59" s="10"/>
      <c r="C59" s="11"/>
      <c r="D59" s="51" t="s">
        <v>416</v>
      </c>
      <c r="E59" s="664">
        <v>0</v>
      </c>
      <c r="F59" s="672">
        <v>0</v>
      </c>
      <c r="G59" s="664">
        <v>0</v>
      </c>
      <c r="H59" s="664">
        <v>0</v>
      </c>
      <c r="I59" s="664">
        <v>0</v>
      </c>
      <c r="J59" s="664">
        <v>0</v>
      </c>
      <c r="K59" s="664">
        <v>0</v>
      </c>
      <c r="L59" s="664">
        <v>0</v>
      </c>
      <c r="M59" s="664">
        <v>0</v>
      </c>
      <c r="N59" s="664">
        <v>0</v>
      </c>
      <c r="O59" s="664">
        <v>0</v>
      </c>
      <c r="P59" s="664">
        <v>0</v>
      </c>
      <c r="Q59" s="664">
        <v>0</v>
      </c>
      <c r="R59" s="664">
        <v>0</v>
      </c>
      <c r="S59" s="664">
        <v>0</v>
      </c>
      <c r="T59" s="664">
        <v>0</v>
      </c>
      <c r="U59" s="664">
        <v>0</v>
      </c>
      <c r="V59" s="664">
        <v>0</v>
      </c>
      <c r="W59" s="664">
        <v>0</v>
      </c>
      <c r="X59" s="664">
        <v>0</v>
      </c>
      <c r="Y59" s="664">
        <v>0</v>
      </c>
      <c r="Z59" s="664">
        <v>0</v>
      </c>
      <c r="AA59" s="664">
        <v>0</v>
      </c>
      <c r="AB59" s="664">
        <v>0</v>
      </c>
      <c r="AC59" s="664">
        <v>0</v>
      </c>
      <c r="AD59" s="665">
        <v>0</v>
      </c>
    </row>
    <row r="60" spans="2:30" x14ac:dyDescent="0.25">
      <c r="B60" s="10"/>
      <c r="C60" s="11" t="s">
        <v>424</v>
      </c>
      <c r="D60" s="11"/>
      <c r="E60" s="162"/>
      <c r="F60" s="85"/>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666"/>
    </row>
    <row r="61" spans="2:30" x14ac:dyDescent="0.25">
      <c r="B61" s="10"/>
      <c r="C61" s="11"/>
      <c r="D61" s="5" t="s">
        <v>418</v>
      </c>
      <c r="E61" s="662">
        <v>0</v>
      </c>
      <c r="F61" s="671">
        <v>0</v>
      </c>
      <c r="G61" s="662">
        <v>0</v>
      </c>
      <c r="H61" s="662">
        <v>0</v>
      </c>
      <c r="I61" s="662">
        <v>0</v>
      </c>
      <c r="J61" s="662">
        <v>0</v>
      </c>
      <c r="K61" s="662">
        <v>0</v>
      </c>
      <c r="L61" s="662">
        <v>0</v>
      </c>
      <c r="M61" s="662">
        <v>0</v>
      </c>
      <c r="N61" s="662">
        <v>0</v>
      </c>
      <c r="O61" s="662">
        <v>0</v>
      </c>
      <c r="P61" s="662">
        <v>0</v>
      </c>
      <c r="Q61" s="662">
        <v>0</v>
      </c>
      <c r="R61" s="662">
        <v>0</v>
      </c>
      <c r="S61" s="662">
        <v>0</v>
      </c>
      <c r="T61" s="662">
        <v>0</v>
      </c>
      <c r="U61" s="662">
        <v>0</v>
      </c>
      <c r="V61" s="662">
        <v>0</v>
      </c>
      <c r="W61" s="662">
        <v>0</v>
      </c>
      <c r="X61" s="662">
        <v>0</v>
      </c>
      <c r="Y61" s="662">
        <v>0</v>
      </c>
      <c r="Z61" s="662">
        <v>0</v>
      </c>
      <c r="AA61" s="662">
        <v>0</v>
      </c>
      <c r="AB61" s="662">
        <v>0</v>
      </c>
      <c r="AC61" s="662">
        <v>0</v>
      </c>
      <c r="AD61" s="663">
        <v>0</v>
      </c>
    </row>
    <row r="62" spans="2:30" x14ac:dyDescent="0.25">
      <c r="B62" s="10"/>
      <c r="C62" s="11"/>
      <c r="D62" s="51" t="s">
        <v>416</v>
      </c>
      <c r="E62" s="664">
        <v>0</v>
      </c>
      <c r="F62" s="672">
        <v>0</v>
      </c>
      <c r="G62" s="664">
        <v>0</v>
      </c>
      <c r="H62" s="664">
        <v>0</v>
      </c>
      <c r="I62" s="664">
        <v>0</v>
      </c>
      <c r="J62" s="664">
        <v>0</v>
      </c>
      <c r="K62" s="664">
        <v>0</v>
      </c>
      <c r="L62" s="664">
        <v>0</v>
      </c>
      <c r="M62" s="664">
        <v>0</v>
      </c>
      <c r="N62" s="664">
        <v>0</v>
      </c>
      <c r="O62" s="664">
        <v>0</v>
      </c>
      <c r="P62" s="664">
        <v>0</v>
      </c>
      <c r="Q62" s="664">
        <v>0</v>
      </c>
      <c r="R62" s="664">
        <v>0</v>
      </c>
      <c r="S62" s="664">
        <v>0</v>
      </c>
      <c r="T62" s="664">
        <v>0</v>
      </c>
      <c r="U62" s="664">
        <v>0</v>
      </c>
      <c r="V62" s="664">
        <v>0</v>
      </c>
      <c r="W62" s="664">
        <v>0</v>
      </c>
      <c r="X62" s="664">
        <v>0</v>
      </c>
      <c r="Y62" s="664">
        <v>0</v>
      </c>
      <c r="Z62" s="664">
        <v>0</v>
      </c>
      <c r="AA62" s="664">
        <v>0</v>
      </c>
      <c r="AB62" s="664">
        <v>0</v>
      </c>
      <c r="AC62" s="664">
        <v>0</v>
      </c>
      <c r="AD62" s="665">
        <v>0</v>
      </c>
    </row>
    <row r="63" spans="2:30" x14ac:dyDescent="0.25">
      <c r="B63" s="10"/>
      <c r="C63" s="11" t="s">
        <v>419</v>
      </c>
      <c r="D63" s="11"/>
      <c r="E63" s="162"/>
      <c r="F63" s="85"/>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666"/>
    </row>
    <row r="64" spans="2:30" x14ac:dyDescent="0.25">
      <c r="B64" s="10"/>
      <c r="C64" s="11"/>
      <c r="D64" s="5" t="s">
        <v>418</v>
      </c>
      <c r="E64" s="662">
        <v>0</v>
      </c>
      <c r="F64" s="671">
        <v>0</v>
      </c>
      <c r="G64" s="662">
        <v>0</v>
      </c>
      <c r="H64" s="662">
        <v>0</v>
      </c>
      <c r="I64" s="662">
        <v>0</v>
      </c>
      <c r="J64" s="662">
        <v>0</v>
      </c>
      <c r="K64" s="662">
        <v>0</v>
      </c>
      <c r="L64" s="662">
        <v>0</v>
      </c>
      <c r="M64" s="662">
        <v>0</v>
      </c>
      <c r="N64" s="662">
        <v>0</v>
      </c>
      <c r="O64" s="662">
        <v>0</v>
      </c>
      <c r="P64" s="662">
        <v>0</v>
      </c>
      <c r="Q64" s="662">
        <v>0</v>
      </c>
      <c r="R64" s="662">
        <v>0</v>
      </c>
      <c r="S64" s="662">
        <v>0</v>
      </c>
      <c r="T64" s="662">
        <v>0</v>
      </c>
      <c r="U64" s="662">
        <v>0</v>
      </c>
      <c r="V64" s="662">
        <v>0</v>
      </c>
      <c r="W64" s="662">
        <v>0</v>
      </c>
      <c r="X64" s="662">
        <v>0</v>
      </c>
      <c r="Y64" s="662">
        <v>0</v>
      </c>
      <c r="Z64" s="662">
        <v>0</v>
      </c>
      <c r="AA64" s="662">
        <v>0</v>
      </c>
      <c r="AB64" s="662">
        <v>0</v>
      </c>
      <c r="AC64" s="662">
        <v>0</v>
      </c>
      <c r="AD64" s="663">
        <v>0</v>
      </c>
    </row>
    <row r="65" spans="2:30" x14ac:dyDescent="0.25">
      <c r="B65" s="10"/>
      <c r="C65" s="11"/>
      <c r="D65" s="51" t="s">
        <v>416</v>
      </c>
      <c r="E65" s="664">
        <v>0</v>
      </c>
      <c r="F65" s="672">
        <v>0</v>
      </c>
      <c r="G65" s="664">
        <v>0</v>
      </c>
      <c r="H65" s="664">
        <v>0</v>
      </c>
      <c r="I65" s="664">
        <v>0</v>
      </c>
      <c r="J65" s="664">
        <v>0</v>
      </c>
      <c r="K65" s="664">
        <v>0</v>
      </c>
      <c r="L65" s="664">
        <v>0</v>
      </c>
      <c r="M65" s="664">
        <v>0</v>
      </c>
      <c r="N65" s="664">
        <v>0</v>
      </c>
      <c r="O65" s="664">
        <v>0</v>
      </c>
      <c r="P65" s="664">
        <v>0</v>
      </c>
      <c r="Q65" s="664">
        <v>0</v>
      </c>
      <c r="R65" s="664">
        <v>0</v>
      </c>
      <c r="S65" s="664">
        <v>0</v>
      </c>
      <c r="T65" s="664">
        <v>0</v>
      </c>
      <c r="U65" s="664">
        <v>0</v>
      </c>
      <c r="V65" s="664">
        <v>0</v>
      </c>
      <c r="W65" s="664">
        <v>0</v>
      </c>
      <c r="X65" s="664">
        <v>0</v>
      </c>
      <c r="Y65" s="664">
        <v>0</v>
      </c>
      <c r="Z65" s="664">
        <v>0</v>
      </c>
      <c r="AA65" s="664">
        <v>0</v>
      </c>
      <c r="AB65" s="664">
        <v>0</v>
      </c>
      <c r="AC65" s="664">
        <v>0</v>
      </c>
      <c r="AD65" s="665">
        <v>0</v>
      </c>
    </row>
    <row r="66" spans="2:30" x14ac:dyDescent="0.25">
      <c r="B66" s="10"/>
      <c r="C66" s="11" t="s">
        <v>423</v>
      </c>
      <c r="D66" s="11"/>
      <c r="E66" s="162"/>
      <c r="F66" s="85"/>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666"/>
    </row>
    <row r="67" spans="2:30" x14ac:dyDescent="0.25">
      <c r="B67" s="10"/>
      <c r="C67" s="11"/>
      <c r="D67" s="5" t="s">
        <v>418</v>
      </c>
      <c r="E67" s="662">
        <v>0</v>
      </c>
      <c r="F67" s="671">
        <v>0</v>
      </c>
      <c r="G67" s="662">
        <v>0</v>
      </c>
      <c r="H67" s="662">
        <v>0</v>
      </c>
      <c r="I67" s="662">
        <v>0</v>
      </c>
      <c r="J67" s="662">
        <v>0</v>
      </c>
      <c r="K67" s="662">
        <v>0</v>
      </c>
      <c r="L67" s="662">
        <v>0</v>
      </c>
      <c r="M67" s="662">
        <v>0</v>
      </c>
      <c r="N67" s="662">
        <v>0</v>
      </c>
      <c r="O67" s="662">
        <v>0</v>
      </c>
      <c r="P67" s="662">
        <v>0</v>
      </c>
      <c r="Q67" s="662">
        <v>0</v>
      </c>
      <c r="R67" s="662">
        <v>0</v>
      </c>
      <c r="S67" s="662">
        <v>0</v>
      </c>
      <c r="T67" s="662">
        <v>0</v>
      </c>
      <c r="U67" s="662">
        <v>0</v>
      </c>
      <c r="V67" s="662">
        <v>0</v>
      </c>
      <c r="W67" s="662">
        <v>0</v>
      </c>
      <c r="X67" s="662">
        <v>0</v>
      </c>
      <c r="Y67" s="662">
        <v>0</v>
      </c>
      <c r="Z67" s="662">
        <v>0</v>
      </c>
      <c r="AA67" s="662">
        <v>0</v>
      </c>
      <c r="AB67" s="662">
        <v>0</v>
      </c>
      <c r="AC67" s="662">
        <v>0</v>
      </c>
      <c r="AD67" s="663">
        <v>0</v>
      </c>
    </row>
    <row r="68" spans="2:30" x14ac:dyDescent="0.25">
      <c r="B68" s="10"/>
      <c r="C68" s="11"/>
      <c r="D68" s="51" t="s">
        <v>416</v>
      </c>
      <c r="E68" s="664">
        <v>0</v>
      </c>
      <c r="F68" s="672">
        <v>0</v>
      </c>
      <c r="G68" s="664">
        <v>0</v>
      </c>
      <c r="H68" s="664">
        <v>0</v>
      </c>
      <c r="I68" s="664">
        <v>0</v>
      </c>
      <c r="J68" s="664">
        <v>0</v>
      </c>
      <c r="K68" s="664">
        <v>0</v>
      </c>
      <c r="L68" s="664">
        <v>0</v>
      </c>
      <c r="M68" s="664">
        <v>0</v>
      </c>
      <c r="N68" s="664">
        <v>0</v>
      </c>
      <c r="O68" s="664">
        <v>0</v>
      </c>
      <c r="P68" s="664">
        <v>0</v>
      </c>
      <c r="Q68" s="664">
        <v>0</v>
      </c>
      <c r="R68" s="664">
        <v>0</v>
      </c>
      <c r="S68" s="664">
        <v>0</v>
      </c>
      <c r="T68" s="664">
        <v>0</v>
      </c>
      <c r="U68" s="664">
        <v>0</v>
      </c>
      <c r="V68" s="664">
        <v>0</v>
      </c>
      <c r="W68" s="664">
        <v>0</v>
      </c>
      <c r="X68" s="664">
        <v>0</v>
      </c>
      <c r="Y68" s="664">
        <v>0</v>
      </c>
      <c r="Z68" s="664">
        <v>0</v>
      </c>
      <c r="AA68" s="664">
        <v>0</v>
      </c>
      <c r="AB68" s="664">
        <v>0</v>
      </c>
      <c r="AC68" s="664">
        <v>0</v>
      </c>
      <c r="AD68" s="665">
        <v>0</v>
      </c>
    </row>
    <row r="69" spans="2:30" x14ac:dyDescent="0.25">
      <c r="B69" s="26"/>
      <c r="C69" s="29"/>
      <c r="D69" s="29"/>
      <c r="E69" s="29"/>
      <c r="F69" s="613"/>
      <c r="G69" s="29"/>
      <c r="H69" s="29"/>
      <c r="I69" s="29"/>
      <c r="J69" s="29"/>
      <c r="K69" s="29"/>
      <c r="L69" s="29"/>
      <c r="M69" s="29"/>
      <c r="N69" s="29"/>
      <c r="O69" s="29"/>
      <c r="P69" s="29"/>
      <c r="Q69" s="29"/>
      <c r="R69" s="29"/>
      <c r="S69" s="29"/>
      <c r="T69" s="29"/>
      <c r="U69" s="29"/>
      <c r="V69" s="29"/>
      <c r="W69" s="29"/>
      <c r="X69" s="29"/>
      <c r="Y69" s="29"/>
      <c r="Z69" s="29"/>
      <c r="AA69" s="29"/>
      <c r="AB69" s="29"/>
      <c r="AC69" s="29"/>
      <c r="AD69" s="30"/>
    </row>
    <row r="71" spans="2:30" x14ac:dyDescent="0.25">
      <c r="F71" s="668"/>
      <c r="G71" s="637"/>
      <c r="H71" s="637"/>
      <c r="I71" s="637"/>
      <c r="J71" s="637"/>
      <c r="K71" s="637"/>
      <c r="L71" s="637"/>
      <c r="M71" s="637"/>
      <c r="N71" s="637"/>
      <c r="O71" s="637"/>
    </row>
    <row r="75" spans="2:30" x14ac:dyDescent="0.25">
      <c r="F75" s="668"/>
      <c r="G75" s="637"/>
      <c r="H75" s="637"/>
      <c r="I75" s="637"/>
      <c r="J75" s="637"/>
      <c r="K75" s="637"/>
      <c r="L75" s="637"/>
      <c r="M75" s="637"/>
      <c r="N75" s="637"/>
      <c r="O75" s="637"/>
      <c r="P75" s="637"/>
    </row>
    <row r="96" spans="2:32" x14ac:dyDescent="0.25">
      <c r="B96" s="152"/>
      <c r="C96" s="152"/>
      <c r="D96" s="152"/>
      <c r="E96" s="152"/>
      <c r="F96" s="183"/>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row>
    <row r="97" spans="2:32" x14ac:dyDescent="0.25">
      <c r="B97" s="152"/>
      <c r="C97" s="152"/>
      <c r="D97" s="152"/>
      <c r="E97" s="152"/>
      <c r="F97" s="183"/>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row>
    <row r="98" spans="2:32" x14ac:dyDescent="0.25">
      <c r="B98" s="152"/>
      <c r="C98" s="152"/>
      <c r="D98" s="152"/>
      <c r="E98" s="152"/>
      <c r="F98" s="183"/>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row>
    <row r="99" spans="2:32" x14ac:dyDescent="0.25">
      <c r="B99" s="152"/>
      <c r="C99" s="152"/>
      <c r="D99" s="152"/>
      <c r="E99" s="152"/>
      <c r="F99" s="183"/>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row>
    <row r="100" spans="2:32" x14ac:dyDescent="0.25">
      <c r="B100" s="152"/>
      <c r="C100" s="152"/>
      <c r="D100" s="152"/>
      <c r="E100" s="152"/>
      <c r="F100" s="183"/>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row>
    <row r="101" spans="2:32" ht="21" x14ac:dyDescent="0.35">
      <c r="B101" s="511"/>
      <c r="C101" s="152"/>
      <c r="D101" s="152"/>
      <c r="E101" s="152"/>
      <c r="F101" s="183"/>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row>
    <row r="102" spans="2:32" ht="21" x14ac:dyDescent="0.35">
      <c r="B102" s="511"/>
      <c r="C102" s="152"/>
      <c r="D102" s="152"/>
      <c r="E102" s="152"/>
      <c r="F102" s="183"/>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row>
    <row r="103" spans="2:32" x14ac:dyDescent="0.25">
      <c r="B103" s="514"/>
      <c r="C103" s="152"/>
      <c r="D103" s="152"/>
      <c r="E103" s="514"/>
      <c r="F103" s="183"/>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row>
    <row r="104" spans="2:32" x14ac:dyDescent="0.25">
      <c r="B104" s="152"/>
      <c r="C104" s="152"/>
      <c r="D104" s="152"/>
      <c r="E104" s="152"/>
      <c r="F104" s="183"/>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row>
    <row r="105" spans="2:32" x14ac:dyDescent="0.25">
      <c r="B105" s="152"/>
      <c r="C105" s="152"/>
      <c r="D105" s="152"/>
      <c r="E105" s="152"/>
      <c r="F105" s="183"/>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row>
    <row r="106" spans="2:32" x14ac:dyDescent="0.25">
      <c r="B106" s="527"/>
      <c r="C106" s="152"/>
      <c r="D106" s="152"/>
      <c r="E106" s="518"/>
      <c r="F106" s="669"/>
      <c r="G106" s="518"/>
      <c r="H106" s="518"/>
      <c r="I106" s="518"/>
      <c r="J106" s="518"/>
      <c r="K106" s="518"/>
      <c r="L106" s="518"/>
      <c r="M106" s="518"/>
      <c r="N106" s="518"/>
      <c r="O106" s="518"/>
      <c r="P106" s="518"/>
      <c r="Q106" s="518"/>
      <c r="R106" s="518"/>
      <c r="S106" s="518"/>
      <c r="T106" s="518"/>
      <c r="U106" s="518"/>
      <c r="V106" s="518"/>
      <c r="W106" s="518"/>
      <c r="X106" s="518"/>
      <c r="Y106" s="518"/>
      <c r="Z106" s="518"/>
      <c r="AA106" s="518"/>
      <c r="AB106" s="518"/>
      <c r="AC106" s="518"/>
      <c r="AD106" s="518"/>
      <c r="AE106" s="152"/>
      <c r="AF106" s="152"/>
    </row>
    <row r="107" spans="2:32" x14ac:dyDescent="0.25">
      <c r="B107" s="519"/>
      <c r="C107" s="519"/>
      <c r="D107" s="152"/>
      <c r="E107" s="152"/>
      <c r="F107" s="183"/>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row>
    <row r="108" spans="2:32" x14ac:dyDescent="0.25">
      <c r="B108" s="152"/>
      <c r="C108" s="152"/>
      <c r="D108" s="152"/>
      <c r="E108" s="518"/>
      <c r="F108" s="669"/>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8"/>
      <c r="AD108" s="518"/>
      <c r="AE108" s="152"/>
      <c r="AF108" s="152"/>
    </row>
    <row r="109" spans="2:32" x14ac:dyDescent="0.25">
      <c r="B109" s="152"/>
      <c r="C109" s="152"/>
      <c r="D109" s="152"/>
      <c r="E109" s="518"/>
      <c r="F109" s="669"/>
      <c r="G109" s="518"/>
      <c r="H109" s="518"/>
      <c r="I109" s="518"/>
      <c r="J109" s="518"/>
      <c r="K109" s="518"/>
      <c r="L109" s="518"/>
      <c r="M109" s="518"/>
      <c r="N109" s="518"/>
      <c r="O109" s="518"/>
      <c r="P109" s="518"/>
      <c r="Q109" s="518"/>
      <c r="R109" s="518"/>
      <c r="S109" s="518"/>
      <c r="T109" s="518"/>
      <c r="U109" s="518"/>
      <c r="V109" s="518"/>
      <c r="W109" s="518"/>
      <c r="X109" s="518"/>
      <c r="Y109" s="518"/>
      <c r="Z109" s="518"/>
      <c r="AA109" s="518"/>
      <c r="AB109" s="518"/>
      <c r="AC109" s="518"/>
      <c r="AD109" s="518"/>
      <c r="AE109" s="152"/>
      <c r="AF109" s="152"/>
    </row>
    <row r="110" spans="2:32" x14ac:dyDescent="0.25">
      <c r="B110" s="514"/>
      <c r="C110" s="152"/>
      <c r="D110" s="152"/>
      <c r="E110" s="518"/>
      <c r="F110" s="669"/>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152"/>
      <c r="AF110" s="152"/>
    </row>
    <row r="111" spans="2:32" x14ac:dyDescent="0.25">
      <c r="B111" s="519"/>
      <c r="C111" s="523"/>
      <c r="D111" s="523"/>
      <c r="E111" s="152"/>
      <c r="F111" s="183"/>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row>
    <row r="112" spans="2:32" x14ac:dyDescent="0.25">
      <c r="B112" s="152"/>
      <c r="C112" s="152"/>
      <c r="D112" s="152"/>
      <c r="E112" s="152"/>
      <c r="F112" s="183"/>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row>
    <row r="113" spans="2:32" x14ac:dyDescent="0.25">
      <c r="B113" s="152"/>
      <c r="C113" s="523"/>
      <c r="D113" s="523"/>
      <c r="E113" s="152"/>
      <c r="F113" s="183"/>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row>
    <row r="114" spans="2:32" x14ac:dyDescent="0.25">
      <c r="B114" s="152"/>
      <c r="C114" s="152"/>
      <c r="D114" s="152"/>
      <c r="E114" s="152"/>
      <c r="F114" s="183"/>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row>
    <row r="115" spans="2:32" x14ac:dyDescent="0.25">
      <c r="B115" s="152"/>
      <c r="C115" s="152"/>
      <c r="D115" s="152"/>
      <c r="E115" s="152"/>
      <c r="F115" s="183"/>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row>
    <row r="116" spans="2:32" x14ac:dyDescent="0.25">
      <c r="B116" s="514"/>
      <c r="C116" s="152"/>
      <c r="D116" s="152"/>
      <c r="E116" s="152"/>
      <c r="F116" s="183"/>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row>
    <row r="117" spans="2:32" x14ac:dyDescent="0.25">
      <c r="B117" s="152"/>
      <c r="C117" s="152"/>
      <c r="D117" s="609"/>
      <c r="E117" s="152"/>
      <c r="F117" s="183"/>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row>
    <row r="118" spans="2:32" x14ac:dyDescent="0.25">
      <c r="B118" s="152"/>
      <c r="C118" s="152"/>
      <c r="D118" s="152"/>
      <c r="E118" s="152"/>
      <c r="F118" s="183"/>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row>
    <row r="119" spans="2:32" x14ac:dyDescent="0.25">
      <c r="B119" s="152"/>
      <c r="C119" s="523"/>
      <c r="D119" s="523"/>
      <c r="E119" s="152"/>
      <c r="F119" s="183"/>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row>
    <row r="120" spans="2:32" x14ac:dyDescent="0.25">
      <c r="B120" s="152"/>
      <c r="C120" s="152"/>
      <c r="D120" s="152"/>
      <c r="E120" s="152"/>
      <c r="F120" s="183"/>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row>
    <row r="121" spans="2:32" x14ac:dyDescent="0.25">
      <c r="B121" s="152"/>
      <c r="C121" s="152"/>
      <c r="D121" s="152"/>
      <c r="E121" s="152"/>
      <c r="F121" s="183"/>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row>
    <row r="122" spans="2:32" x14ac:dyDescent="0.25">
      <c r="B122" s="514"/>
      <c r="C122" s="152"/>
      <c r="D122" s="152"/>
      <c r="E122" s="152"/>
      <c r="F122" s="183"/>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row>
    <row r="123" spans="2:32" x14ac:dyDescent="0.25">
      <c r="B123" s="152"/>
      <c r="C123" s="535"/>
      <c r="D123" s="609"/>
      <c r="E123" s="152"/>
      <c r="F123" s="183"/>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row>
    <row r="124" spans="2:32" x14ac:dyDescent="0.25">
      <c r="B124" s="152"/>
      <c r="C124" s="152"/>
      <c r="D124" s="152"/>
      <c r="E124" s="152"/>
      <c r="F124" s="183"/>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row>
    <row r="125" spans="2:32" x14ac:dyDescent="0.25">
      <c r="B125" s="152"/>
      <c r="C125" s="535"/>
      <c r="D125" s="609"/>
      <c r="E125" s="152"/>
      <c r="F125" s="183"/>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row>
    <row r="126" spans="2:32" x14ac:dyDescent="0.25">
      <c r="B126" s="152"/>
      <c r="C126" s="152"/>
      <c r="D126" s="152"/>
      <c r="E126" s="525"/>
      <c r="F126" s="670"/>
      <c r="G126" s="525"/>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152"/>
      <c r="AF126" s="152"/>
    </row>
    <row r="127" spans="2:32" x14ac:dyDescent="0.25">
      <c r="B127" s="152"/>
      <c r="C127" s="152"/>
      <c r="D127" s="152"/>
      <c r="E127" s="152"/>
      <c r="F127" s="183"/>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row>
    <row r="128" spans="2:32" ht="21" x14ac:dyDescent="0.35">
      <c r="B128" s="511"/>
      <c r="C128" s="152"/>
      <c r="D128" s="152"/>
      <c r="E128" s="152"/>
      <c r="F128" s="183"/>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row>
    <row r="129" spans="2:32" ht="21" x14ac:dyDescent="0.35">
      <c r="B129" s="511"/>
      <c r="C129" s="152"/>
      <c r="D129" s="152"/>
      <c r="E129" s="152"/>
      <c r="F129" s="183"/>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row>
    <row r="130" spans="2:32" x14ac:dyDescent="0.25">
      <c r="B130" s="514"/>
      <c r="C130" s="152"/>
      <c r="D130" s="152"/>
      <c r="E130" s="514"/>
      <c r="F130" s="183"/>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row>
    <row r="131" spans="2:32" x14ac:dyDescent="0.25">
      <c r="B131" s="152"/>
      <c r="C131" s="152"/>
      <c r="D131" s="152"/>
      <c r="E131" s="152"/>
      <c r="F131" s="183"/>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row>
    <row r="132" spans="2:32" x14ac:dyDescent="0.25">
      <c r="B132" s="152"/>
      <c r="C132" s="152"/>
      <c r="D132" s="152"/>
      <c r="E132" s="152"/>
      <c r="F132" s="183"/>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row>
    <row r="133" spans="2:32" x14ac:dyDescent="0.25">
      <c r="B133" s="527"/>
      <c r="C133" s="152"/>
      <c r="D133" s="152"/>
      <c r="E133" s="152"/>
      <c r="F133" s="183"/>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row>
    <row r="134" spans="2:32" x14ac:dyDescent="0.25">
      <c r="B134" s="519"/>
      <c r="C134" s="519"/>
      <c r="D134" s="152"/>
      <c r="E134" s="152"/>
      <c r="F134" s="183"/>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row>
    <row r="135" spans="2:32" x14ac:dyDescent="0.25">
      <c r="B135" s="152"/>
      <c r="C135" s="152"/>
      <c r="D135" s="152"/>
      <c r="E135" s="152"/>
      <c r="F135" s="183"/>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row>
    <row r="136" spans="2:32" x14ac:dyDescent="0.25">
      <c r="B136" s="152"/>
      <c r="C136" s="152"/>
      <c r="D136" s="152"/>
      <c r="E136" s="152"/>
      <c r="F136" s="183"/>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row>
    <row r="137" spans="2:32" x14ac:dyDescent="0.25">
      <c r="B137" s="514"/>
      <c r="C137" s="152"/>
      <c r="D137" s="152"/>
      <c r="E137" s="152"/>
      <c r="F137" s="183"/>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row>
    <row r="138" spans="2:32" x14ac:dyDescent="0.25">
      <c r="B138" s="519"/>
      <c r="C138" s="523"/>
      <c r="D138" s="523"/>
      <c r="E138" s="152"/>
      <c r="F138" s="183"/>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row>
    <row r="139" spans="2:32" x14ac:dyDescent="0.25">
      <c r="B139" s="152"/>
      <c r="C139" s="152"/>
      <c r="D139" s="152"/>
      <c r="E139" s="152"/>
      <c r="F139" s="183"/>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row>
    <row r="140" spans="2:32" x14ac:dyDescent="0.25">
      <c r="B140" s="152"/>
      <c r="C140" s="523"/>
      <c r="D140" s="523"/>
      <c r="E140" s="152"/>
      <c r="F140" s="183"/>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row>
    <row r="141" spans="2:32" x14ac:dyDescent="0.25">
      <c r="B141" s="152"/>
      <c r="C141" s="152"/>
      <c r="D141" s="152"/>
      <c r="E141" s="152"/>
      <c r="F141" s="183"/>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row>
    <row r="142" spans="2:32" x14ac:dyDescent="0.25">
      <c r="B142" s="152"/>
      <c r="C142" s="152"/>
      <c r="D142" s="152"/>
      <c r="E142" s="152"/>
      <c r="F142" s="183"/>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row>
    <row r="143" spans="2:32" x14ac:dyDescent="0.25">
      <c r="B143" s="514"/>
      <c r="C143" s="152"/>
      <c r="D143" s="152"/>
      <c r="E143" s="152"/>
      <c r="F143" s="183"/>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row>
    <row r="144" spans="2:32" x14ac:dyDescent="0.25">
      <c r="B144" s="152"/>
      <c r="C144" s="152"/>
      <c r="D144" s="609"/>
      <c r="E144" s="152"/>
      <c r="F144" s="183"/>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row>
    <row r="145" spans="2:32" x14ac:dyDescent="0.25">
      <c r="B145" s="152"/>
      <c r="C145" s="152"/>
      <c r="D145" s="152"/>
      <c r="E145" s="152"/>
      <c r="F145" s="183"/>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row>
    <row r="146" spans="2:32" x14ac:dyDescent="0.25">
      <c r="B146" s="152"/>
      <c r="C146" s="523"/>
      <c r="D146" s="523"/>
      <c r="E146" s="152"/>
      <c r="F146" s="183"/>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row>
    <row r="147" spans="2:32" x14ac:dyDescent="0.25">
      <c r="B147" s="152"/>
      <c r="C147" s="152"/>
      <c r="D147" s="152"/>
      <c r="E147" s="152"/>
      <c r="F147" s="183"/>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row>
    <row r="148" spans="2:32" x14ac:dyDescent="0.25">
      <c r="B148" s="152"/>
      <c r="C148" s="152"/>
      <c r="D148" s="152"/>
      <c r="E148" s="152"/>
      <c r="F148" s="183"/>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row>
    <row r="149" spans="2:32" x14ac:dyDescent="0.25">
      <c r="B149" s="514"/>
      <c r="C149" s="152"/>
      <c r="D149" s="152"/>
      <c r="E149" s="152"/>
      <c r="F149" s="183"/>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row>
    <row r="150" spans="2:32" x14ac:dyDescent="0.25">
      <c r="B150" s="152"/>
      <c r="C150" s="535"/>
      <c r="D150" s="609"/>
      <c r="E150" s="152"/>
      <c r="F150" s="183"/>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row>
    <row r="151" spans="2:32" x14ac:dyDescent="0.25">
      <c r="B151" s="152"/>
      <c r="C151" s="152"/>
      <c r="D151" s="152"/>
      <c r="E151" s="152"/>
      <c r="F151" s="183"/>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row>
    <row r="152" spans="2:32" x14ac:dyDescent="0.25">
      <c r="B152" s="152"/>
      <c r="C152" s="535"/>
      <c r="D152" s="609"/>
      <c r="E152" s="152"/>
      <c r="F152" s="183"/>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row>
    <row r="153" spans="2:32" x14ac:dyDescent="0.25">
      <c r="B153" s="152"/>
      <c r="C153" s="152"/>
      <c r="D153" s="152"/>
      <c r="E153" s="525"/>
      <c r="F153" s="670"/>
      <c r="G153" s="525"/>
      <c r="H153" s="525"/>
      <c r="I153" s="525"/>
      <c r="J153" s="525"/>
      <c r="K153" s="525"/>
      <c r="L153" s="525"/>
      <c r="M153" s="525"/>
      <c r="N153" s="525"/>
      <c r="O153" s="525"/>
      <c r="P153" s="525"/>
      <c r="Q153" s="525"/>
      <c r="R153" s="525"/>
      <c r="S153" s="525"/>
      <c r="T153" s="525"/>
      <c r="U153" s="525"/>
      <c r="V153" s="525"/>
      <c r="W153" s="525"/>
      <c r="X153" s="525"/>
      <c r="Y153" s="525"/>
      <c r="Z153" s="525"/>
      <c r="AA153" s="525"/>
      <c r="AB153" s="525"/>
      <c r="AC153" s="525"/>
      <c r="AD153" s="525"/>
      <c r="AE153" s="152"/>
      <c r="AF153" s="152"/>
    </row>
    <row r="154" spans="2:32" x14ac:dyDescent="0.25">
      <c r="B154" s="152"/>
      <c r="C154" s="152"/>
      <c r="D154" s="152"/>
      <c r="E154" s="152"/>
      <c r="F154" s="183"/>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row>
    <row r="155" spans="2:32" x14ac:dyDescent="0.25">
      <c r="B155" s="152"/>
      <c r="C155" s="152"/>
      <c r="D155" s="152"/>
      <c r="E155" s="152"/>
      <c r="F155" s="183"/>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row>
  </sheetData>
  <mergeCells count="11">
    <mergeCell ref="B41:D41"/>
    <mergeCell ref="B40:F40"/>
    <mergeCell ref="B2:F2"/>
    <mergeCell ref="B3:F3"/>
    <mergeCell ref="B4:D4"/>
    <mergeCell ref="B9:F9"/>
    <mergeCell ref="B10:D10"/>
    <mergeCell ref="B26:F26"/>
    <mergeCell ref="B27:D27"/>
    <mergeCell ref="B20:F20"/>
    <mergeCell ref="B21:D21"/>
  </mergeCells>
  <conditionalFormatting sqref="E16:E18">
    <cfRule type="expression" dxfId="0" priority="1">
      <formula>$E$15</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U106"/>
  <sheetViews>
    <sheetView zoomScale="70" zoomScaleNormal="70" zoomScalePageLayoutView="70" workbookViewId="0"/>
  </sheetViews>
  <sheetFormatPr defaultColWidth="8.875" defaultRowHeight="15.75" x14ac:dyDescent="0.25"/>
  <cols>
    <col min="1" max="1" width="2.5" style="546" customWidth="1"/>
    <col min="2" max="3" width="2.625" style="546" customWidth="1"/>
    <col min="4" max="4" width="35.125" style="546" customWidth="1"/>
    <col min="5" max="5" width="10.375" style="553" customWidth="1"/>
    <col min="6" max="31" width="15" style="151" customWidth="1"/>
    <col min="32" max="32" width="11" style="151" customWidth="1"/>
    <col min="33" max="34" width="2.5" style="540" customWidth="1"/>
    <col min="35" max="35" width="44.125" style="151" customWidth="1"/>
    <col min="36" max="36" width="12.875" style="151" customWidth="1"/>
    <col min="37" max="62" width="15" style="151" customWidth="1"/>
    <col min="63" max="71" width="11" style="151" customWidth="1"/>
    <col min="72" max="72" width="13.875" style="151" customWidth="1"/>
    <col min="73" max="254" width="11" style="151" customWidth="1"/>
    <col min="255" max="16384" width="8.875" style="151"/>
  </cols>
  <sheetData>
    <row r="2" spans="2:62" ht="21" customHeight="1" x14ac:dyDescent="0.35">
      <c r="B2" s="803" t="s">
        <v>437</v>
      </c>
      <c r="C2" s="804"/>
      <c r="D2" s="805"/>
      <c r="E2" s="620"/>
      <c r="F2" s="677"/>
      <c r="G2" s="676"/>
      <c r="H2" s="676"/>
      <c r="I2" s="678"/>
      <c r="J2" s="678"/>
      <c r="K2" s="47"/>
      <c r="L2" s="47"/>
      <c r="M2" s="47"/>
      <c r="N2" s="47"/>
      <c r="O2" s="47"/>
      <c r="P2" s="47"/>
      <c r="Q2" s="47"/>
      <c r="R2" s="47"/>
      <c r="S2" s="47"/>
      <c r="T2" s="47"/>
      <c r="U2" s="47"/>
      <c r="V2" s="47"/>
      <c r="W2" s="47"/>
      <c r="X2" s="47"/>
      <c r="Y2" s="47"/>
      <c r="Z2" s="47"/>
      <c r="AA2" s="47"/>
      <c r="AB2" s="47"/>
      <c r="AC2" s="47"/>
      <c r="AD2" s="47"/>
      <c r="AE2" s="47"/>
      <c r="AG2" s="785" t="s">
        <v>438</v>
      </c>
      <c r="AH2" s="786"/>
      <c r="AI2" s="787"/>
      <c r="AJ2" s="626"/>
      <c r="AK2" s="677"/>
      <c r="AL2" s="676"/>
      <c r="AM2" s="676"/>
      <c r="AN2" s="678"/>
      <c r="AO2" s="678"/>
      <c r="AP2" s="47"/>
      <c r="AQ2" s="47"/>
      <c r="AR2" s="47"/>
      <c r="AS2" s="47"/>
      <c r="AT2" s="47"/>
      <c r="AU2" s="47"/>
      <c r="AV2" s="47"/>
      <c r="AW2" s="47"/>
      <c r="AX2" s="47"/>
      <c r="AY2" s="47"/>
      <c r="AZ2" s="47"/>
      <c r="BA2" s="47"/>
      <c r="BB2" s="47"/>
      <c r="BC2" s="47"/>
      <c r="BD2" s="47"/>
      <c r="BE2" s="47"/>
      <c r="BF2" s="47"/>
      <c r="BG2" s="47"/>
      <c r="BH2" s="47"/>
      <c r="BI2" s="47"/>
      <c r="BJ2" s="47"/>
    </row>
    <row r="3" spans="2:62" x14ac:dyDescent="0.25">
      <c r="B3" s="621"/>
      <c r="C3" s="622"/>
      <c r="D3" s="623"/>
      <c r="E3" s="629" t="s">
        <v>4</v>
      </c>
      <c r="F3" s="624" t="s">
        <v>24</v>
      </c>
      <c r="G3" s="624" t="s">
        <v>0</v>
      </c>
      <c r="H3" s="624" t="s">
        <v>1</v>
      </c>
      <c r="I3" s="624" t="s">
        <v>9</v>
      </c>
      <c r="J3" s="624" t="s">
        <v>10</v>
      </c>
      <c r="K3" s="624" t="s">
        <v>11</v>
      </c>
      <c r="L3" s="624" t="s">
        <v>12</v>
      </c>
      <c r="M3" s="624" t="s">
        <v>13</v>
      </c>
      <c r="N3" s="624" t="s">
        <v>14</v>
      </c>
      <c r="O3" s="624" t="s">
        <v>15</v>
      </c>
      <c r="P3" s="624" t="s">
        <v>16</v>
      </c>
      <c r="Q3" s="624" t="s">
        <v>39</v>
      </c>
      <c r="R3" s="624" t="s">
        <v>41</v>
      </c>
      <c r="S3" s="624" t="s">
        <v>42</v>
      </c>
      <c r="T3" s="624" t="s">
        <v>43</v>
      </c>
      <c r="U3" s="624" t="s">
        <v>44</v>
      </c>
      <c r="V3" s="624" t="s">
        <v>45</v>
      </c>
      <c r="W3" s="624" t="s">
        <v>46</v>
      </c>
      <c r="X3" s="624" t="s">
        <v>47</v>
      </c>
      <c r="Y3" s="624" t="s">
        <v>48</v>
      </c>
      <c r="Z3" s="624" t="s">
        <v>49</v>
      </c>
      <c r="AA3" s="624" t="s">
        <v>50</v>
      </c>
      <c r="AB3" s="624" t="s">
        <v>51</v>
      </c>
      <c r="AC3" s="624" t="s">
        <v>52</v>
      </c>
      <c r="AD3" s="624" t="s">
        <v>53</v>
      </c>
      <c r="AE3" s="625" t="s">
        <v>54</v>
      </c>
      <c r="AG3" s="627"/>
      <c r="AH3" s="628"/>
      <c r="AI3" s="610"/>
      <c r="AJ3" s="632" t="s">
        <v>4</v>
      </c>
      <c r="AK3" s="624" t="s">
        <v>24</v>
      </c>
      <c r="AL3" s="624" t="s">
        <v>0</v>
      </c>
      <c r="AM3" s="624" t="s">
        <v>1</v>
      </c>
      <c r="AN3" s="624" t="s">
        <v>9</v>
      </c>
      <c r="AO3" s="624" t="s">
        <v>10</v>
      </c>
      <c r="AP3" s="624" t="s">
        <v>11</v>
      </c>
      <c r="AQ3" s="624" t="s">
        <v>12</v>
      </c>
      <c r="AR3" s="624" t="s">
        <v>13</v>
      </c>
      <c r="AS3" s="624" t="s">
        <v>14</v>
      </c>
      <c r="AT3" s="624" t="s">
        <v>15</v>
      </c>
      <c r="AU3" s="624" t="s">
        <v>16</v>
      </c>
      <c r="AV3" s="624" t="s">
        <v>39</v>
      </c>
      <c r="AW3" s="624" t="s">
        <v>41</v>
      </c>
      <c r="AX3" s="624" t="s">
        <v>42</v>
      </c>
      <c r="AY3" s="624" t="s">
        <v>43</v>
      </c>
      <c r="AZ3" s="624" t="s">
        <v>44</v>
      </c>
      <c r="BA3" s="624" t="s">
        <v>45</v>
      </c>
      <c r="BB3" s="624" t="s">
        <v>46</v>
      </c>
      <c r="BC3" s="624" t="s">
        <v>47</v>
      </c>
      <c r="BD3" s="624" t="s">
        <v>48</v>
      </c>
      <c r="BE3" s="624" t="s">
        <v>49</v>
      </c>
      <c r="BF3" s="624" t="s">
        <v>50</v>
      </c>
      <c r="BG3" s="624" t="s">
        <v>51</v>
      </c>
      <c r="BH3" s="624" t="s">
        <v>52</v>
      </c>
      <c r="BI3" s="624" t="s">
        <v>53</v>
      </c>
      <c r="BJ3" s="625" t="s">
        <v>54</v>
      </c>
    </row>
    <row r="4" spans="2:62" x14ac:dyDescent="0.25">
      <c r="B4" s="584" t="s">
        <v>546</v>
      </c>
      <c r="C4" s="548"/>
      <c r="D4" s="548"/>
      <c r="E4" s="630" t="s">
        <v>18</v>
      </c>
      <c r="F4" s="615">
        <f>F10*'CBA Sector'!$E$6</f>
        <v>0</v>
      </c>
      <c r="G4" s="615">
        <f>G10*'CBA Sector'!$E$6</f>
        <v>11220960</v>
      </c>
      <c r="H4" s="615">
        <f>H10*'CBA Sector'!$E$6</f>
        <v>11321948.639999999</v>
      </c>
      <c r="I4" s="615">
        <f>I10*'CBA Sector'!$E$6</f>
        <v>11423846.177759998</v>
      </c>
      <c r="J4" s="615">
        <f>J10*'CBA Sector'!$E$6</f>
        <v>11526660.793359837</v>
      </c>
      <c r="K4" s="615">
        <f>K10*'CBA Sector'!$E$6</f>
        <v>11630400.740500074</v>
      </c>
      <c r="L4" s="615">
        <f>L10*'CBA Sector'!$E$6</f>
        <v>11735074.347164573</v>
      </c>
      <c r="M4" s="615">
        <f>M10*'CBA Sector'!$E$6</f>
        <v>11840690.016289052</v>
      </c>
      <c r="N4" s="615">
        <f>N10*'CBA Sector'!$E$6</f>
        <v>11947256.226435654</v>
      </c>
      <c r="O4" s="615">
        <f>O10*'CBA Sector'!$E$6</f>
        <v>12054781.532473573</v>
      </c>
      <c r="P4" s="615">
        <f>P10*'CBA Sector'!$E$6</f>
        <v>12163274.566265833</v>
      </c>
      <c r="Q4" s="615">
        <f>Q10*'CBA Sector'!$E$6</f>
        <v>0</v>
      </c>
      <c r="R4" s="615">
        <f>R10*'CBA Sector'!$E$6</f>
        <v>0</v>
      </c>
      <c r="S4" s="615">
        <f>S10*'CBA Sector'!$E$6</f>
        <v>0</v>
      </c>
      <c r="T4" s="615">
        <f>T10*'CBA Sector'!$E$6</f>
        <v>0</v>
      </c>
      <c r="U4" s="615">
        <f>U10*'CBA Sector'!$E$6</f>
        <v>0</v>
      </c>
      <c r="V4" s="615">
        <f>V10*'CBA Sector'!$E$6</f>
        <v>0</v>
      </c>
      <c r="W4" s="615">
        <f>W10*'CBA Sector'!$E$6</f>
        <v>0</v>
      </c>
      <c r="X4" s="615">
        <f>X10*'CBA Sector'!$E$6</f>
        <v>0</v>
      </c>
      <c r="Y4" s="615">
        <f>Y10*'CBA Sector'!$E$6</f>
        <v>0</v>
      </c>
      <c r="Z4" s="615">
        <f>Z10*'CBA Sector'!$E$6</f>
        <v>0</v>
      </c>
      <c r="AA4" s="615">
        <f>AA10*'CBA Sector'!$E$6</f>
        <v>0</v>
      </c>
      <c r="AB4" s="615">
        <f>AB10*'CBA Sector'!$E$6</f>
        <v>0</v>
      </c>
      <c r="AC4" s="615">
        <f>AC10*'CBA Sector'!$E$6</f>
        <v>0</v>
      </c>
      <c r="AD4" s="615">
        <f>AD10*'CBA Sector'!$E$6</f>
        <v>0</v>
      </c>
      <c r="AE4" s="616">
        <f>AE10*'CBA Sector'!$E$6</f>
        <v>0</v>
      </c>
      <c r="AG4" s="584" t="s">
        <v>546</v>
      </c>
      <c r="AH4" s="548"/>
      <c r="AI4" s="548"/>
      <c r="AJ4" s="630" t="s">
        <v>18</v>
      </c>
      <c r="AK4" s="615">
        <f>AK10*'CBA Sector'!$E$7</f>
        <v>0</v>
      </c>
      <c r="AL4" s="615">
        <f>AL10*'CBA Sector'!$E$7</f>
        <v>82900216</v>
      </c>
      <c r="AM4" s="615">
        <f>AM10*'CBA Sector'!$E$7</f>
        <v>88454530.471999988</v>
      </c>
      <c r="AN4" s="615">
        <f>AN10*'CBA Sector'!$E$7</f>
        <v>94380984.013623983</v>
      </c>
      <c r="AO4" s="615">
        <f>AO10*'CBA Sector'!$E$7</f>
        <v>100704509.9425368</v>
      </c>
      <c r="AP4" s="615">
        <f>AP10*'CBA Sector'!$E$7</f>
        <v>107451712.10868675</v>
      </c>
      <c r="AQ4" s="615">
        <f>AQ10*'CBA Sector'!$E$7</f>
        <v>114650976.81996876</v>
      </c>
      <c r="AR4" s="615">
        <f>AR10*'CBA Sector'!$E$7</f>
        <v>122332592.26690666</v>
      </c>
      <c r="AS4" s="615">
        <f>AS10*'CBA Sector'!$E$7</f>
        <v>130528875.9487894</v>
      </c>
      <c r="AT4" s="615">
        <f>AT10*'CBA Sector'!$E$7</f>
        <v>139274310.63735828</v>
      </c>
      <c r="AU4" s="615">
        <f>AU10*'CBA Sector'!$E$7</f>
        <v>148605689.45006129</v>
      </c>
      <c r="AV4" s="615">
        <f>AV10*'CBA Sector'!$E$7</f>
        <v>0</v>
      </c>
      <c r="AW4" s="615">
        <f>AW10*'CBA Sector'!$E$7</f>
        <v>0</v>
      </c>
      <c r="AX4" s="615">
        <f>AX10*'CBA Sector'!$E$7</f>
        <v>0</v>
      </c>
      <c r="AY4" s="615">
        <f>AY10*'CBA Sector'!$E$7</f>
        <v>0</v>
      </c>
      <c r="AZ4" s="615">
        <f>AZ10*'CBA Sector'!$E$7</f>
        <v>0</v>
      </c>
      <c r="BA4" s="615">
        <f>BA10*'CBA Sector'!$E$7</f>
        <v>0</v>
      </c>
      <c r="BB4" s="615">
        <f>BB10*'CBA Sector'!$E$7</f>
        <v>0</v>
      </c>
      <c r="BC4" s="615">
        <f>BC10*'CBA Sector'!$E$7</f>
        <v>0</v>
      </c>
      <c r="BD4" s="615">
        <f>BD10*'CBA Sector'!$E$7</f>
        <v>0</v>
      </c>
      <c r="BE4" s="615">
        <f>BE10*'CBA Sector'!$E$7</f>
        <v>0</v>
      </c>
      <c r="BF4" s="615">
        <f>BF10*'CBA Sector'!$E$7</f>
        <v>0</v>
      </c>
      <c r="BG4" s="615">
        <f>BG10*'CBA Sector'!$E$7</f>
        <v>0</v>
      </c>
      <c r="BH4" s="615">
        <f>BH10*'CBA Sector'!$E$7</f>
        <v>0</v>
      </c>
      <c r="BI4" s="615">
        <f>BI10*'CBA Sector'!$E$7</f>
        <v>0</v>
      </c>
      <c r="BJ4" s="616">
        <f>BJ10*'CBA Sector'!$E$7</f>
        <v>0</v>
      </c>
    </row>
    <row r="5" spans="2:62" x14ac:dyDescent="0.25">
      <c r="B5" s="549" t="s">
        <v>545</v>
      </c>
      <c r="C5" s="547"/>
      <c r="D5" s="547"/>
      <c r="E5" s="551" t="s">
        <v>18</v>
      </c>
      <c r="F5" s="617">
        <f>'Customer Calc'!G7</f>
        <v>0</v>
      </c>
      <c r="G5" s="617">
        <f>'Customer Calc'!H8</f>
        <v>9842861</v>
      </c>
      <c r="H5" s="617">
        <f>'Customer Calc'!I8</f>
        <v>10118461.108000001</v>
      </c>
      <c r="I5" s="617">
        <f>'Customer Calc'!J8</f>
        <v>10401778.019024001</v>
      </c>
      <c r="J5" s="617">
        <f>'Customer Calc'!K8</f>
        <v>10693027.803556673</v>
      </c>
      <c r="K5" s="617">
        <f>'Customer Calc'!L8</f>
        <v>10992432.58205626</v>
      </c>
      <c r="L5" s="617">
        <f>'Customer Calc'!M8</f>
        <v>11300220.694353836</v>
      </c>
      <c r="M5" s="617">
        <f>'Customer Calc'!N8</f>
        <v>11616626.873795744</v>
      </c>
      <c r="N5" s="617">
        <f>'Customer Calc'!O8</f>
        <v>11941892.426262025</v>
      </c>
      <c r="O5" s="617">
        <f>'Customer Calc'!P8</f>
        <v>12276265.414197361</v>
      </c>
      <c r="P5" s="617">
        <f>'Customer Calc'!Q8</f>
        <v>12620000.845794888</v>
      </c>
      <c r="Q5" s="617">
        <f>'Customer Calc'!R8</f>
        <v>0</v>
      </c>
      <c r="R5" s="617">
        <f>'Customer Calc'!S8</f>
        <v>0</v>
      </c>
      <c r="S5" s="617">
        <f>'Customer Calc'!T8</f>
        <v>0</v>
      </c>
      <c r="T5" s="617">
        <f>'Customer Calc'!U8</f>
        <v>0</v>
      </c>
      <c r="U5" s="617">
        <f>'Customer Calc'!V8</f>
        <v>0</v>
      </c>
      <c r="V5" s="617">
        <f>'Customer Calc'!W8</f>
        <v>0</v>
      </c>
      <c r="W5" s="617">
        <f>'Customer Calc'!X8</f>
        <v>0</v>
      </c>
      <c r="X5" s="617">
        <f>'Customer Calc'!Y8</f>
        <v>0</v>
      </c>
      <c r="Y5" s="617">
        <f>'Customer Calc'!Z8</f>
        <v>0</v>
      </c>
      <c r="Z5" s="617">
        <f>'Customer Calc'!AA8</f>
        <v>0</v>
      </c>
      <c r="AA5" s="617">
        <f>'Customer Calc'!AB8</f>
        <v>0</v>
      </c>
      <c r="AB5" s="617">
        <f>'Customer Calc'!AC8</f>
        <v>0</v>
      </c>
      <c r="AC5" s="617">
        <f>'Customer Calc'!AD8</f>
        <v>0</v>
      </c>
      <c r="AD5" s="617">
        <f>'Customer Calc'!AE8</f>
        <v>0</v>
      </c>
      <c r="AE5" s="618">
        <f>'Customer Calc'!AF8</f>
        <v>0</v>
      </c>
      <c r="AG5" s="549" t="s">
        <v>545</v>
      </c>
      <c r="AH5" s="547"/>
      <c r="AI5" s="547"/>
      <c r="AJ5" s="551" t="s">
        <v>18</v>
      </c>
      <c r="AK5" s="617">
        <f>'Customer Calc'!AM7</f>
        <v>0</v>
      </c>
      <c r="AL5" s="617">
        <f>'Customer Calc'!AN8</f>
        <v>5540558</v>
      </c>
      <c r="AM5" s="617">
        <f>'Customer Calc'!AO8</f>
        <v>5740018.0880000005</v>
      </c>
      <c r="AN5" s="617">
        <f>'Customer Calc'!AP8</f>
        <v>5946658.7391680004</v>
      </c>
      <c r="AO5" s="617">
        <f>'Customer Calc'!AQ8</f>
        <v>6160738.453778049</v>
      </c>
      <c r="AP5" s="617">
        <f>'Customer Calc'!AR8</f>
        <v>6382525.0381140588</v>
      </c>
      <c r="AQ5" s="617">
        <f>'Customer Calc'!AS8</f>
        <v>6612295.9394861655</v>
      </c>
      <c r="AR5" s="617">
        <f>'Customer Calc'!AT8</f>
        <v>6850338.5933076674</v>
      </c>
      <c r="AS5" s="617">
        <f>'Customer Calc'!AU8</f>
        <v>7096950.7826667437</v>
      </c>
      <c r="AT5" s="617">
        <f>'Customer Calc'!AV8</f>
        <v>7352441.0108427471</v>
      </c>
      <c r="AU5" s="617">
        <f>'Customer Calc'!AW8</f>
        <v>7617128.8872330859</v>
      </c>
      <c r="AV5" s="617">
        <f>'Customer Calc'!AX8</f>
        <v>0</v>
      </c>
      <c r="AW5" s="617">
        <f>'Customer Calc'!AY8</f>
        <v>0</v>
      </c>
      <c r="AX5" s="617">
        <f>'Customer Calc'!AZ8</f>
        <v>0</v>
      </c>
      <c r="AY5" s="617">
        <f>'Customer Calc'!BA8</f>
        <v>0</v>
      </c>
      <c r="AZ5" s="617">
        <f>'Customer Calc'!BB8</f>
        <v>0</v>
      </c>
      <c r="BA5" s="617">
        <f>'Customer Calc'!BC8</f>
        <v>0</v>
      </c>
      <c r="BB5" s="617">
        <f>'Customer Calc'!BD8</f>
        <v>0</v>
      </c>
      <c r="BC5" s="617">
        <f>'Customer Calc'!BE8</f>
        <v>0</v>
      </c>
      <c r="BD5" s="617">
        <f>'Customer Calc'!BF8</f>
        <v>0</v>
      </c>
      <c r="BE5" s="617">
        <f>'Customer Calc'!BG8</f>
        <v>0</v>
      </c>
      <c r="BF5" s="617">
        <f>'Customer Calc'!BH8</f>
        <v>0</v>
      </c>
      <c r="BG5" s="617">
        <f>'Customer Calc'!BI8</f>
        <v>0</v>
      </c>
      <c r="BH5" s="617">
        <f>'Customer Calc'!BJ8</f>
        <v>0</v>
      </c>
      <c r="BI5" s="617">
        <f>'Customer Calc'!BK8</f>
        <v>0</v>
      </c>
      <c r="BJ5" s="618">
        <f>'Customer Calc'!BL8</f>
        <v>0</v>
      </c>
    </row>
    <row r="6" spans="2:62" x14ac:dyDescent="0.25">
      <c r="B6" s="549" t="s">
        <v>544</v>
      </c>
      <c r="C6" s="547"/>
      <c r="D6" s="547"/>
      <c r="E6" s="551" t="s">
        <v>18</v>
      </c>
      <c r="F6" s="617">
        <f>'Customer Calc'!G8</f>
        <v>0</v>
      </c>
      <c r="G6" s="617">
        <f>'Customer Calc'!H7</f>
        <v>8287611</v>
      </c>
      <c r="H6" s="617">
        <f>'Customer Calc'!I7</f>
        <v>8561102.1629999988</v>
      </c>
      <c r="I6" s="617">
        <f>'Customer Calc'!J7</f>
        <v>8843618.534378998</v>
      </c>
      <c r="J6" s="617">
        <f>'Customer Calc'!K7</f>
        <v>9135457.9460135046</v>
      </c>
      <c r="K6" s="617">
        <f>'Customer Calc'!L7</f>
        <v>9436928.0582319498</v>
      </c>
      <c r="L6" s="617">
        <f>'Customer Calc'!M7</f>
        <v>9748346.6841536034</v>
      </c>
      <c r="M6" s="617">
        <f>'Customer Calc'!N7</f>
        <v>10070042.124730671</v>
      </c>
      <c r="N6" s="617">
        <f>'Customer Calc'!O7</f>
        <v>10402353.514846781</v>
      </c>
      <c r="O6" s="617">
        <f>'Customer Calc'!P7</f>
        <v>10745631.180836724</v>
      </c>
      <c r="P6" s="617">
        <f>'Customer Calc'!Q7</f>
        <v>11100237.009804334</v>
      </c>
      <c r="Q6" s="617">
        <f>'Customer Calc'!R7</f>
        <v>0</v>
      </c>
      <c r="R6" s="617">
        <f>'Customer Calc'!S7</f>
        <v>0</v>
      </c>
      <c r="S6" s="617">
        <f>'Customer Calc'!T7</f>
        <v>0</v>
      </c>
      <c r="T6" s="617">
        <f>'Customer Calc'!U7</f>
        <v>0</v>
      </c>
      <c r="U6" s="617">
        <f>'Customer Calc'!V7</f>
        <v>0</v>
      </c>
      <c r="V6" s="617">
        <f>'Customer Calc'!W7</f>
        <v>0</v>
      </c>
      <c r="W6" s="617">
        <f>'Customer Calc'!X7</f>
        <v>0</v>
      </c>
      <c r="X6" s="617">
        <f>'Customer Calc'!Y7</f>
        <v>0</v>
      </c>
      <c r="Y6" s="617">
        <f>'Customer Calc'!Z7</f>
        <v>0</v>
      </c>
      <c r="Z6" s="617">
        <f>'Customer Calc'!AA7</f>
        <v>0</v>
      </c>
      <c r="AA6" s="617">
        <f>'Customer Calc'!AB7</f>
        <v>0</v>
      </c>
      <c r="AB6" s="617">
        <f>'Customer Calc'!AC7</f>
        <v>0</v>
      </c>
      <c r="AC6" s="617">
        <f>'Customer Calc'!AD7</f>
        <v>0</v>
      </c>
      <c r="AD6" s="617">
        <f>'Customer Calc'!AE7</f>
        <v>0</v>
      </c>
      <c r="AE6" s="618">
        <f>'Customer Calc'!AF7</f>
        <v>0</v>
      </c>
      <c r="AG6" s="549" t="s">
        <v>544</v>
      </c>
      <c r="AH6" s="547"/>
      <c r="AI6" s="547"/>
      <c r="AJ6" s="551" t="s">
        <v>18</v>
      </c>
      <c r="AK6" s="617">
        <f>'Customer Calc'!AM8</f>
        <v>0</v>
      </c>
      <c r="AL6" s="617">
        <f>'Customer Calc'!AN7</f>
        <v>13659969</v>
      </c>
      <c r="AM6" s="617">
        <f>'Customer Calc'!AO7</f>
        <v>14056108.100999998</v>
      </c>
      <c r="AN6" s="617">
        <f>'Customer Calc'!AP7</f>
        <v>14463735.235928997</v>
      </c>
      <c r="AO6" s="617">
        <f>'Customer Calc'!AQ7</f>
        <v>14883183.557770938</v>
      </c>
      <c r="AP6" s="617">
        <f>'Customer Calc'!AR7</f>
        <v>15314795.880946293</v>
      </c>
      <c r="AQ6" s="617">
        <f>'Customer Calc'!AS7</f>
        <v>15758924.961493734</v>
      </c>
      <c r="AR6" s="617">
        <f>'Customer Calc'!AT7</f>
        <v>16215933.785377052</v>
      </c>
      <c r="AS6" s="617">
        <f>'Customer Calc'!AU7</f>
        <v>16686195.865152985</v>
      </c>
      <c r="AT6" s="617">
        <f>'Customer Calc'!AV7</f>
        <v>17170095.545242421</v>
      </c>
      <c r="AU6" s="617">
        <f>'Customer Calc'!AW7</f>
        <v>17668028.316054448</v>
      </c>
      <c r="AV6" s="617">
        <f>'Customer Calc'!AX7</f>
        <v>0</v>
      </c>
      <c r="AW6" s="617">
        <f>'Customer Calc'!AY7</f>
        <v>0</v>
      </c>
      <c r="AX6" s="617">
        <f>'Customer Calc'!AZ7</f>
        <v>0</v>
      </c>
      <c r="AY6" s="617">
        <f>'Customer Calc'!BA7</f>
        <v>0</v>
      </c>
      <c r="AZ6" s="617">
        <f>'Customer Calc'!BB7</f>
        <v>0</v>
      </c>
      <c r="BA6" s="617">
        <f>'Customer Calc'!BC7</f>
        <v>0</v>
      </c>
      <c r="BB6" s="617">
        <f>'Customer Calc'!BD7</f>
        <v>0</v>
      </c>
      <c r="BC6" s="617">
        <f>'Customer Calc'!BE7</f>
        <v>0</v>
      </c>
      <c r="BD6" s="617">
        <f>'Customer Calc'!BF7</f>
        <v>0</v>
      </c>
      <c r="BE6" s="617">
        <f>'Customer Calc'!BG7</f>
        <v>0</v>
      </c>
      <c r="BF6" s="617">
        <f>'Customer Calc'!BH7</f>
        <v>0</v>
      </c>
      <c r="BG6" s="617">
        <f>'Customer Calc'!BI7</f>
        <v>0</v>
      </c>
      <c r="BH6" s="617">
        <f>'Customer Calc'!BJ7</f>
        <v>0</v>
      </c>
      <c r="BI6" s="617">
        <f>'Customer Calc'!BK7</f>
        <v>0</v>
      </c>
      <c r="BJ6" s="618">
        <f>'Customer Calc'!BL7</f>
        <v>0</v>
      </c>
    </row>
    <row r="7" spans="2:62" x14ac:dyDescent="0.25">
      <c r="B7" s="549" t="s">
        <v>543</v>
      </c>
      <c r="C7" s="547"/>
      <c r="D7" s="547"/>
      <c r="E7" s="551" t="s">
        <v>18</v>
      </c>
      <c r="F7" s="377">
        <f>'Customer Calc'!G64*'Customer Calc'!G24</f>
        <v>0</v>
      </c>
      <c r="G7" s="377">
        <f ca="1">'Customer Calc'!H64*'Customer Calc'!H24</f>
        <v>7199812.9242779464</v>
      </c>
      <c r="H7" s="377">
        <f ca="1">'Customer Calc'!I64*'Customer Calc'!I24</f>
        <v>14626831.405990586</v>
      </c>
      <c r="I7" s="377">
        <f ca="1">'Customer Calc'!J64*'Customer Calc'!J24</f>
        <v>22315590.749111995</v>
      </c>
      <c r="J7" s="377">
        <f ca="1">'Customer Calc'!K64*'Customer Calc'!K24</f>
        <v>30302587.654397096</v>
      </c>
      <c r="K7" s="377">
        <f ca="1">'Customer Calc'!L64*'Customer Calc'!L24</f>
        <v>38626448.293086216</v>
      </c>
      <c r="L7" s="377">
        <f ca="1">'Customer Calc'!M64*'Customer Calc'!M24</f>
        <v>47328107.727608912</v>
      </c>
      <c r="M7" s="377">
        <f ca="1">'Customer Calc'!N64*'Customer Calc'!N24</f>
        <v>56451001.543962248</v>
      </c>
      <c r="N7" s="377">
        <f ca="1">'Customer Calc'!O64*'Customer Calc'!O24</f>
        <v>66041270.622183666</v>
      </c>
      <c r="O7" s="377">
        <f ca="1">'Customer Calc'!P64*'Customer Calc'!P24</f>
        <v>76147980.037662834</v>
      </c>
      <c r="P7" s="377">
        <f ca="1">'Customer Calc'!Q64*'Customer Calc'!Q24</f>
        <v>86823353.157275274</v>
      </c>
      <c r="Q7" s="377">
        <f ca="1">'Customer Calc'!R64*'Customer Calc'!R24</f>
        <v>80084688.406572431</v>
      </c>
      <c r="R7" s="377">
        <f ca="1">'Customer Calc'!S64*'Customer Calc'!S24</f>
        <v>73042991.346068919</v>
      </c>
      <c r="S7" s="377">
        <f ca="1">'Customer Calc'!T64*'Customer Calc'!T24</f>
        <v>65655152.04096584</v>
      </c>
      <c r="T7" s="377">
        <f ca="1">'Customer Calc'!U64*'Customer Calc'!U24</f>
        <v>57875361.064555615</v>
      </c>
      <c r="U7" s="377">
        <f ca="1">'Customer Calc'!V64*'Customer Calc'!V24</f>
        <v>49654884.360774674</v>
      </c>
      <c r="V7" s="377">
        <f ca="1">'Customer Calc'!W64*'Customer Calc'!W24</f>
        <v>40941822.460460573</v>
      </c>
      <c r="W7" s="377">
        <f ca="1">'Customer Calc'!X64*'Customer Calc'!X24</f>
        <v>31680852.868248075</v>
      </c>
      <c r="X7" s="377">
        <f ca="1">'Customer Calc'!Y64*'Customer Calc'!Y24</f>
        <v>21812954.351662032</v>
      </c>
      <c r="Y7" s="377">
        <f ca="1">'Customer Calc'!Z64*'Customer Calc'!Z24</f>
        <v>11275111.772242179</v>
      </c>
      <c r="Z7" s="377">
        <f ca="1">'Customer Calc'!AA64*'Customer Calc'!AA24</f>
        <v>0</v>
      </c>
      <c r="AA7" s="377">
        <f ca="1">'Customer Calc'!AB64*'Customer Calc'!AB24</f>
        <v>0</v>
      </c>
      <c r="AB7" s="377">
        <f ca="1">'Customer Calc'!AC64*'Customer Calc'!AC24</f>
        <v>0</v>
      </c>
      <c r="AC7" s="377">
        <f ca="1">'Customer Calc'!AD64*'Customer Calc'!AD24</f>
        <v>0</v>
      </c>
      <c r="AD7" s="377">
        <f ca="1">'Customer Calc'!AE64*'Customer Calc'!AE24</f>
        <v>0</v>
      </c>
      <c r="AE7" s="377">
        <f ca="1">'Customer Calc'!AF64*'Customer Calc'!AF24</f>
        <v>0</v>
      </c>
      <c r="AG7" s="549" t="s">
        <v>543</v>
      </c>
      <c r="AH7" s="547"/>
      <c r="AI7" s="547"/>
      <c r="AJ7" s="551" t="s">
        <v>18</v>
      </c>
      <c r="AK7" s="377">
        <f>'Customer Calc'!AM64*'Customer Calc'!AM24</f>
        <v>0</v>
      </c>
      <c r="AL7" s="377">
        <f ca="1">'Customer Calc'!AN64*'Customer Calc'!AN24</f>
        <v>15656702.142678279</v>
      </c>
      <c r="AM7" s="377">
        <f ca="1">'Customer Calc'!AO64*'Customer Calc'!AO24</f>
        <v>33336139.734278183</v>
      </c>
      <c r="AN7" s="377">
        <f ca="1">'Customer Calc'!AP64*'Customer Calc'!AP24</f>
        <v>53322009.422174752</v>
      </c>
      <c r="AO7" s="377">
        <f ca="1">'Customer Calc'!AQ64*'Customer Calc'!AQ24</f>
        <v>75935690.418759331</v>
      </c>
      <c r="AP7" s="377">
        <f ca="1">'Customer Calc'!AR64*'Customer Calc'!AR24</f>
        <v>101541324.61628626</v>
      </c>
      <c r="AQ7" s="377">
        <f ca="1">'Customer Calc'!AS64*'Customer Calc'!AS24</f>
        <v>130551581.43382829</v>
      </c>
      <c r="AR7" s="377">
        <f ca="1">'Customer Calc'!AT64*'Customer Calc'!AT24</f>
        <v>163434199.97160664</v>
      </c>
      <c r="AS7" s="377">
        <f ca="1">'Customer Calc'!AU64*'Customer Calc'!AU24</f>
        <v>200719413.57821411</v>
      </c>
      <c r="AT7" s="377">
        <f ca="1">'Customer Calc'!AV64*'Customer Calc'!AV24</f>
        <v>243008376.16418028</v>
      </c>
      <c r="AU7" s="377">
        <f ca="1">'Customer Calc'!AW64*'Customer Calc'!AW24</f>
        <v>290982725.75109702</v>
      </c>
      <c r="AV7" s="377">
        <f ca="1">'Customer Calc'!AX64*'Customer Calc'!AX24</f>
        <v>297245627.67147905</v>
      </c>
      <c r="AW7" s="377">
        <f ca="1">'Customer Calc'!AY64*'Customer Calc'!AY24</f>
        <v>303833390.53652823</v>
      </c>
      <c r="AX7" s="377">
        <f ca="1">'Customer Calc'!AZ64*'Customer Calc'!AZ24</f>
        <v>310752493.7255975</v>
      </c>
      <c r="AY7" s="377">
        <f ca="1">'Customer Calc'!BA64*'Customer Calc'!BA24</f>
        <v>318009794.90932214</v>
      </c>
      <c r="AZ7" s="377">
        <f ca="1">'Customer Calc'!BB64*'Customer Calc'!BB24</f>
        <v>325612536.85152256</v>
      </c>
      <c r="BA7" s="377">
        <f ca="1">'Customer Calc'!BC64*'Customer Calc'!BC24</f>
        <v>312538906.68574935</v>
      </c>
      <c r="BB7" s="377">
        <f ca="1">'Customer Calc'!BD64*'Customer Calc'!BD24</f>
        <v>296643684.65841407</v>
      </c>
      <c r="BC7" s="377">
        <f ca="1">'Customer Calc'!BE64*'Customer Calc'!BE24</f>
        <v>277486097.54640764</v>
      </c>
      <c r="BD7" s="377">
        <f ca="1">'Customer Calc'!BF64*'Customer Calc'!BF24</f>
        <v>254564967.07374844</v>
      </c>
      <c r="BE7" s="377">
        <f ca="1">'Customer Calc'!BG64*'Customer Calc'!BG24</f>
        <v>227310480.94002813</v>
      </c>
      <c r="BF7" s="377">
        <f ca="1">'Customer Calc'!BH64*'Customer Calc'!BH24</f>
        <v>195074849.63409016</v>
      </c>
      <c r="BG7" s="377">
        <f ca="1">'Customer Calc'!BI64*'Customer Calc'!BI24</f>
        <v>157121698.04556641</v>
      </c>
      <c r="BH7" s="377">
        <f ca="1">'Customer Calc'!BJ64*'Customer Calc'!BJ24</f>
        <v>112614020.42038129</v>
      </c>
      <c r="BI7" s="377">
        <f ca="1">'Customer Calc'!BK64*'Customer Calc'!BK24</f>
        <v>60600503.963865757</v>
      </c>
      <c r="BJ7" s="377">
        <f ca="1">'Customer Calc'!BL64*'Customer Calc'!BL24</f>
        <v>0</v>
      </c>
    </row>
    <row r="8" spans="2:62" x14ac:dyDescent="0.25">
      <c r="B8" s="549" t="s">
        <v>542</v>
      </c>
      <c r="C8" s="547"/>
      <c r="D8" s="547"/>
      <c r="E8" s="551" t="s">
        <v>18</v>
      </c>
      <c r="F8" s="299">
        <f>((F13/1000)*F17)+((F14/1000)*F18)+F12*'CBA Sector'!$E$24+((F15*F19))</f>
        <v>0</v>
      </c>
      <c r="G8" s="299">
        <f>((G13/1000)*G17)+((G14/1000)*G18)+G12*'CBA Sector'!$E$24+((G15*G19))</f>
        <v>4129509.8846399998</v>
      </c>
      <c r="H8" s="299">
        <f ca="1">((H13/1000)*H17)+((H14/1000)*H18)+H12*'CBA Sector'!$E$24+((H15*H19))</f>
        <v>8477254.8409796599</v>
      </c>
      <c r="I8" s="299">
        <f ca="1">((I13/1000)*I17)+((I14/1000)*I18)+I12*'CBA Sector'!$E$24+((I15*I19))</f>
        <v>13066660.072685257</v>
      </c>
      <c r="J8" s="299">
        <f ca="1">((J13/1000)*J17)+((J14/1000)*J18)+J12*'CBA Sector'!$E$24+((J15*J19))</f>
        <v>17922861.293836445</v>
      </c>
      <c r="K8" s="299">
        <f ca="1">((K13/1000)*K17)+((K14/1000)*K18)+K12*'CBA Sector'!$E$24+((K15*K19))</f>
        <v>23072839.291510999</v>
      </c>
      <c r="L8" s="299">
        <f ca="1">((L13/1000)*L17)+((L14/1000)*L18)+L12*'CBA Sector'!$E$24+((L15*L19))</f>
        <v>28545564.522778913</v>
      </c>
      <c r="M8" s="299">
        <f ca="1">((M13/1000)*M17)+((M14/1000)*M18)+M12*'CBA Sector'!$E$24+((M15*M19))</f>
        <v>34372152.501427665</v>
      </c>
      <c r="N8" s="299">
        <f ca="1">((N13/1000)*N17)+((N14/1000)*N18)+N12*'CBA Sector'!$E$24+((N15*N19))</f>
        <v>40586030.786107227</v>
      </c>
      <c r="O8" s="299">
        <f ca="1">((O13/1000)*O17)+((O14/1000)*O18)+O12*'CBA Sector'!$E$24+((O15*O19))</f>
        <v>47223118.442162417</v>
      </c>
      <c r="P8" s="299">
        <f ca="1">((P13/1000)*P17)+((P14/1000)*P18)+P12*'CBA Sector'!$E$24+((P15*P19))</f>
        <v>54322018.914523304</v>
      </c>
      <c r="Q8" s="299">
        <f ca="1">((Q13/1000)*Q17)+((Q14/1000)*Q18)+Q12*'CBA Sector'!$E$24+((Q15*Q19))</f>
        <v>50547128.782292634</v>
      </c>
      <c r="R8" s="299">
        <f ca="1">((R13/1000)*R17)+((R14/1000)*R18)+R12*'CBA Sector'!$E$24+((R15*R19))</f>
        <v>46498055.878440082</v>
      </c>
      <c r="S8" s="299">
        <f ca="1">((S13/1000)*S17)+((S14/1000)*S18)+S12*'CBA Sector'!$E$24+((S15*S19))</f>
        <v>42144038.005059242</v>
      </c>
      <c r="T8" s="299">
        <f ca="1">((T13/1000)*T17)+((T14/1000)*T18)+T12*'CBA Sector'!$E$24+((T15*T19))</f>
        <v>37451962.78806591</v>
      </c>
      <c r="U8" s="299">
        <f ca="1">((U13/1000)*U17)+((U14/1000)*U18)+U12*'CBA Sector'!$E$24+((U15*U19))</f>
        <v>32386181.847169269</v>
      </c>
      <c r="V8" s="299">
        <f ca="1">((V13/1000)*V17)+((V14/1000)*V18)+V12*'CBA Sector'!$E$24+((V15*V19))</f>
        <v>26908310.999005031</v>
      </c>
      <c r="W8" s="299">
        <f ca="1">((W13/1000)*W17)+((W14/1000)*W18)+W12*'CBA Sector'!$E$24+((W15*W19))</f>
        <v>20977015.440760639</v>
      </c>
      <c r="X8" s="299">
        <f ca="1">((X13/1000)*X17)+((X14/1000)*X18)+X12*'CBA Sector'!$E$24+((X15*X19))</f>
        <v>14547778.782950254</v>
      </c>
      <c r="Y8" s="299">
        <f ca="1">((Y13/1000)*Y17)+((Y14/1000)*Y18)+Y12*'CBA Sector'!$E$24+((Y15*Y19))</f>
        <v>7572654.7154457141</v>
      </c>
      <c r="Z8" s="299">
        <f>((Z13/1000)*Z17)+((Z14/1000)*Z18)+Z12*'CBA Sector'!$E$24+((Z15*Z19))</f>
        <v>0</v>
      </c>
      <c r="AA8" s="299">
        <f>((AA13/1000)*AA17)+((AA14/1000)*AA18)+AA12*'CBA Sector'!$E$24+((AA15*AA19))</f>
        <v>0</v>
      </c>
      <c r="AB8" s="299">
        <f>((AB13/1000)*AB17)+((AB14/1000)*AB18)+AB12*'CBA Sector'!$E$24+((AB15*AB19))</f>
        <v>0</v>
      </c>
      <c r="AC8" s="299">
        <f>((AC13/1000)*AC17)+((AC14/1000)*AC18)+AC12*'CBA Sector'!$E$24+((AC15*AC19))</f>
        <v>0</v>
      </c>
      <c r="AD8" s="299">
        <f>((AD13/1000)*AD17)+((AD14/1000)*AD18)+AD12*'CBA Sector'!$E$24+((AD15*AD19))</f>
        <v>0</v>
      </c>
      <c r="AE8" s="299">
        <f>((AE13/1000)*AE17)+((AE14/1000)*AE18)+AE12*'CBA Sector'!$E$24+((AE15*AE19))</f>
        <v>0</v>
      </c>
      <c r="AF8" s="152"/>
      <c r="AG8" s="549" t="s">
        <v>542</v>
      </c>
      <c r="AH8" s="547"/>
      <c r="AI8" s="547"/>
      <c r="AJ8" s="551" t="s">
        <v>18</v>
      </c>
      <c r="AK8" s="299">
        <f>((AK13/1000)*AK17)+((AK14/1000)*AK18)+AK12*'CBA Sector'!$E$24+((AK15*AK19))</f>
        <v>0</v>
      </c>
      <c r="AL8" s="299">
        <f>((AL13/1000)*AL17)+((AL14/1000)*AL18)+AL12*'CBA Sector'!$E$24+((AL15*AL19))</f>
        <v>19477155.063979998</v>
      </c>
      <c r="AM8" s="299">
        <f>((AM13/1000)*AM17)+((AM14/1000)*AM18)+AM12*'CBA Sector'!$E$24+((AM15*AM19))</f>
        <v>40517513.808151037</v>
      </c>
      <c r="AN8" s="299">
        <f>((AN13/1000)*AN17)+((AN14/1000)*AN18)+AN12*'CBA Sector'!$E$24+((AN15*AN19))</f>
        <v>63372551.477755725</v>
      </c>
      <c r="AO8" s="299">
        <f>((AO13/1000)*AO17)+((AO14/1000)*AO18)+AO12*'CBA Sector'!$E$24+((AO15*AO19))</f>
        <v>88327454.457909569</v>
      </c>
      <c r="AP8" s="299">
        <f>((AP13/1000)*AP17)+((AP14/1000)*AP18)+AP12*'CBA Sector'!$E$24+((AP15*AP19))</f>
        <v>115705756.19277596</v>
      </c>
      <c r="AQ8" s="299">
        <f>((AQ13/1000)*AQ17)+((AQ14/1000)*AQ18)+AQ12*'CBA Sector'!$E$24+((AQ15*AQ19))</f>
        <v>145874604.90664938</v>
      </c>
      <c r="AR8" s="299">
        <f>((AR13/1000)*AR17)+((AR14/1000)*AR18)+AR12*'CBA Sector'!$E$24+((AR15*AR19))</f>
        <v>179250749.31422812</v>
      </c>
      <c r="AS8" s="299">
        <f>((AS13/1000)*AS17)+((AS14/1000)*AS18)+AS12*'CBA Sector'!$E$24+((AS15*AS19))</f>
        <v>216307340.25929356</v>
      </c>
      <c r="AT8" s="299">
        <f>((AT13/1000)*AT17)+((AT14/1000)*AT18)+AT12*'CBA Sector'!$E$24+((AT15*AT19))</f>
        <v>257581659.57541806</v>
      </c>
      <c r="AU8" s="299">
        <f>((AU13/1000)*AU17)+((AU14/1000)*AU18)+AU12*'CBA Sector'!$E$24+((AU15*AU19))</f>
        <v>303683902.63770938</v>
      </c>
      <c r="AV8" s="299">
        <f>((AV13/1000)*AV17)+((AV14/1000)*AV18)+AV12*'CBA Sector'!$E$24+((AV15*AV19))</f>
        <v>308452796.77356875</v>
      </c>
      <c r="AW8" s="299">
        <f>((AW13/1000)*AW17)+((AW14/1000)*AW18)+AW12*'CBA Sector'!$E$24+((AW15*AW19))</f>
        <v>313545404.64547229</v>
      </c>
      <c r="AX8" s="299">
        <f>((AX13/1000)*AX17)+((AX14/1000)*AX18)+AX12*'CBA Sector'!$E$24+((AX15*AX19))</f>
        <v>318968017.57643193</v>
      </c>
      <c r="AY8" s="299">
        <f>((AY13/1000)*AY17)+((AY14/1000)*AY18)+AY12*'CBA Sector'!$E$24+((AY15*AY19))</f>
        <v>324727277.81766784</v>
      </c>
      <c r="AZ8" s="299">
        <f>((AZ13/1000)*AZ17)+((AZ14/1000)*AZ18)+AZ12*'CBA Sector'!$E$24+((AZ15*AZ19))</f>
        <v>330830186.47882807</v>
      </c>
      <c r="BA8" s="299">
        <f>((BA13/1000)*BA17)+((BA14/1000)*BA18)+BA12*'CBA Sector'!$E$24+((BA15*BA19))</f>
        <v>314624817.31497496</v>
      </c>
      <c r="BB8" s="299">
        <f>((BB13/1000)*BB17)+((BB14/1000)*BB18)+BB12*'CBA Sector'!$E$24+((BB15*BB19))</f>
        <v>296044638.86270529</v>
      </c>
      <c r="BC8" s="299">
        <f>((BC13/1000)*BC17)+((BC14/1000)*BC18)+BC12*'CBA Sector'!$E$24+((BC15*BC19))</f>
        <v>274688716.39379495</v>
      </c>
      <c r="BD8" s="299">
        <f>((BD13/1000)*BD17)+((BD14/1000)*BD18)+BD12*'CBA Sector'!$E$24+((BD15*BD19))</f>
        <v>250100704.74456161</v>
      </c>
      <c r="BE8" s="299">
        <f>((BE13/1000)*BE17)+((BE14/1000)*BE18)+BE12*'CBA Sector'!$E$24+((BE15*BE19))</f>
        <v>221761210.26214814</v>
      </c>
      <c r="BF8" s="299">
        <f>((BF13/1000)*BF17)+((BF14/1000)*BF18)+BF12*'CBA Sector'!$E$24+((BF15*BF19))</f>
        <v>189079110.0954895</v>
      </c>
      <c r="BG8" s="299">
        <f>((BG13/1000)*BG17)+((BG14/1000)*BG18)+BG12*'CBA Sector'!$E$24+((BG15*BG19))</f>
        <v>151381686.57186332</v>
      </c>
      <c r="BH8" s="299">
        <f>((BH13/1000)*BH17)+((BH14/1000)*BH18)+BH12*'CBA Sector'!$E$24+((BH15*BH19))</f>
        <v>107903415.00059462</v>
      </c>
      <c r="BI8" s="299">
        <f>((BI13/1000)*BI17)+((BI14/1000)*BI18)+BI12*'CBA Sector'!$E$24+((BI15*BI19))</f>
        <v>57773221.200869262</v>
      </c>
      <c r="BJ8" s="299">
        <f>((BJ13/1000)*BJ17)+((BJ14/1000)*BJ18)+BJ12*'CBA Sector'!$E$24+((BJ15*BJ19))</f>
        <v>0</v>
      </c>
    </row>
    <row r="9" spans="2:62" x14ac:dyDescent="0.25">
      <c r="B9" s="549"/>
      <c r="C9" s="547"/>
      <c r="D9" s="547"/>
      <c r="E9" s="551"/>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9"/>
      <c r="AG9" s="549"/>
      <c r="AH9" s="547"/>
      <c r="AI9" s="547"/>
      <c r="AJ9" s="551"/>
      <c r="AK9" s="528"/>
      <c r="AL9" s="528"/>
      <c r="AM9" s="528"/>
      <c r="AN9" s="528"/>
      <c r="AO9" s="528"/>
      <c r="AP9" s="528"/>
      <c r="AQ9" s="528"/>
      <c r="AR9" s="528"/>
      <c r="AS9" s="528"/>
      <c r="AT9" s="528"/>
      <c r="AU9" s="528"/>
      <c r="AV9" s="528"/>
      <c r="AW9" s="528"/>
      <c r="AX9" s="528"/>
      <c r="AY9" s="528"/>
      <c r="AZ9" s="528"/>
      <c r="BA9" s="528"/>
      <c r="BB9" s="528"/>
      <c r="BC9" s="528"/>
      <c r="BD9" s="528"/>
      <c r="BE9" s="528"/>
      <c r="BF9" s="528"/>
      <c r="BG9" s="528"/>
      <c r="BH9" s="528"/>
      <c r="BI9" s="528"/>
      <c r="BJ9" s="529"/>
    </row>
    <row r="10" spans="2:62" x14ac:dyDescent="0.25">
      <c r="B10" s="549" t="s">
        <v>533</v>
      </c>
      <c r="C10" s="547"/>
      <c r="D10" s="547"/>
      <c r="E10" s="551" t="s">
        <v>6</v>
      </c>
      <c r="F10" s="300">
        <f>'Customer Calc'!G63</f>
        <v>0</v>
      </c>
      <c r="G10" s="300">
        <f>'Customer Calc'!H63</f>
        <v>57840000</v>
      </c>
      <c r="H10" s="300">
        <f>'Customer Calc'!I63</f>
        <v>58360559.999999993</v>
      </c>
      <c r="I10" s="300">
        <f>'Customer Calc'!J63</f>
        <v>58885805.039999984</v>
      </c>
      <c r="J10" s="300">
        <f>'Customer Calc'!K63</f>
        <v>59415777.285359979</v>
      </c>
      <c r="K10" s="300">
        <f>'Customer Calc'!L63</f>
        <v>59950519.280928209</v>
      </c>
      <c r="L10" s="300">
        <f>'Customer Calc'!M63</f>
        <v>60490073.95445656</v>
      </c>
      <c r="M10" s="300">
        <f>'Customer Calc'!N63</f>
        <v>61034484.62004666</v>
      </c>
      <c r="N10" s="300">
        <f>'Customer Calc'!O63</f>
        <v>61583794.981627077</v>
      </c>
      <c r="O10" s="300">
        <f>'Customer Calc'!P63</f>
        <v>62138049.136461712</v>
      </c>
      <c r="P10" s="300">
        <f>'Customer Calc'!Q63</f>
        <v>62697291.578689858</v>
      </c>
      <c r="Q10" s="300">
        <f>'Customer Calc'!R63</f>
        <v>0</v>
      </c>
      <c r="R10" s="300">
        <f>'Customer Calc'!S63</f>
        <v>0</v>
      </c>
      <c r="S10" s="300">
        <f>'Customer Calc'!T63</f>
        <v>0</v>
      </c>
      <c r="T10" s="300">
        <f>'Customer Calc'!U63</f>
        <v>0</v>
      </c>
      <c r="U10" s="300">
        <f>'Customer Calc'!V63</f>
        <v>0</v>
      </c>
      <c r="V10" s="300">
        <f>'Customer Calc'!W63</f>
        <v>0</v>
      </c>
      <c r="W10" s="300">
        <f>'Customer Calc'!X63</f>
        <v>0</v>
      </c>
      <c r="X10" s="300">
        <f>'Customer Calc'!Y63</f>
        <v>0</v>
      </c>
      <c r="Y10" s="300">
        <f>'Customer Calc'!Z63</f>
        <v>0</v>
      </c>
      <c r="Z10" s="300">
        <f>'Customer Calc'!AA63</f>
        <v>0</v>
      </c>
      <c r="AA10" s="300">
        <f>'Customer Calc'!AB63</f>
        <v>0</v>
      </c>
      <c r="AB10" s="300">
        <f>'Customer Calc'!AC63</f>
        <v>0</v>
      </c>
      <c r="AC10" s="300">
        <f>'Customer Calc'!AD63</f>
        <v>0</v>
      </c>
      <c r="AD10" s="300">
        <f>'Customer Calc'!AE63</f>
        <v>0</v>
      </c>
      <c r="AE10" s="303">
        <f>'Customer Calc'!AF63</f>
        <v>0</v>
      </c>
      <c r="AG10" s="549" t="s">
        <v>533</v>
      </c>
      <c r="AH10" s="547"/>
      <c r="AI10" s="547"/>
      <c r="AJ10" s="551" t="s">
        <v>6</v>
      </c>
      <c r="AK10" s="300">
        <f>'Customer Calc'!AM63</f>
        <v>0</v>
      </c>
      <c r="AL10" s="300">
        <f>'Customer Calc'!AN63</f>
        <v>240989000</v>
      </c>
      <c r="AM10" s="300">
        <f>'Customer Calc'!AO63</f>
        <v>257135263</v>
      </c>
      <c r="AN10" s="300">
        <f>'Customer Calc'!AP63</f>
        <v>274363325.62099999</v>
      </c>
      <c r="AO10" s="300">
        <f>'Customer Calc'!AQ63</f>
        <v>292745668.43760699</v>
      </c>
      <c r="AP10" s="300">
        <f>'Customer Calc'!AR63</f>
        <v>312359628.22292662</v>
      </c>
      <c r="AQ10" s="300">
        <f>'Customer Calc'!AS63</f>
        <v>333287723.31386268</v>
      </c>
      <c r="AR10" s="300">
        <f>'Customer Calc'!AT63</f>
        <v>355618000.77589148</v>
      </c>
      <c r="AS10" s="300">
        <f>'Customer Calc'!AU63</f>
        <v>379444406.82787621</v>
      </c>
      <c r="AT10" s="300">
        <f>'Customer Calc'!AV63</f>
        <v>404867182.0853439</v>
      </c>
      <c r="AU10" s="300">
        <f>'Customer Calc'!AW63</f>
        <v>431993283.2850619</v>
      </c>
      <c r="AV10" s="300">
        <f>'Customer Calc'!AX63</f>
        <v>0</v>
      </c>
      <c r="AW10" s="300">
        <f>'Customer Calc'!AY63</f>
        <v>0</v>
      </c>
      <c r="AX10" s="300">
        <f>'Customer Calc'!AZ63</f>
        <v>0</v>
      </c>
      <c r="AY10" s="300">
        <f>'Customer Calc'!BA63</f>
        <v>0</v>
      </c>
      <c r="AZ10" s="300">
        <f>'Customer Calc'!BB63</f>
        <v>0</v>
      </c>
      <c r="BA10" s="300">
        <f>'Customer Calc'!BC63</f>
        <v>0</v>
      </c>
      <c r="BB10" s="300">
        <f>'Customer Calc'!BD63</f>
        <v>0</v>
      </c>
      <c r="BC10" s="300">
        <f>'Customer Calc'!BE63</f>
        <v>0</v>
      </c>
      <c r="BD10" s="300">
        <f>'Customer Calc'!BF63</f>
        <v>0</v>
      </c>
      <c r="BE10" s="300">
        <f>'Customer Calc'!BG63</f>
        <v>0</v>
      </c>
      <c r="BF10" s="300">
        <f>'Customer Calc'!BH63</f>
        <v>0</v>
      </c>
      <c r="BG10" s="300">
        <f>'Customer Calc'!BI63</f>
        <v>0</v>
      </c>
      <c r="BH10" s="300">
        <f>'Customer Calc'!BJ63</f>
        <v>0</v>
      </c>
      <c r="BI10" s="300">
        <f>'Customer Calc'!BK63</f>
        <v>0</v>
      </c>
      <c r="BJ10" s="303">
        <f>'Customer Calc'!BL63</f>
        <v>0</v>
      </c>
    </row>
    <row r="11" spans="2:62" x14ac:dyDescent="0.25">
      <c r="B11" s="549"/>
      <c r="C11" s="547"/>
      <c r="D11" s="547"/>
      <c r="E11" s="551"/>
      <c r="F11" s="635"/>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6"/>
      <c r="AG11" s="549"/>
      <c r="AH11" s="547"/>
      <c r="AI11" s="547"/>
      <c r="AJ11" s="551"/>
      <c r="AK11" s="635"/>
      <c r="AL11" s="635"/>
      <c r="AM11" s="635"/>
      <c r="AN11" s="635"/>
      <c r="AO11" s="635"/>
      <c r="AP11" s="635"/>
      <c r="AQ11" s="635"/>
      <c r="AR11" s="635"/>
      <c r="AS11" s="635"/>
      <c r="AT11" s="635"/>
      <c r="AU11" s="635"/>
      <c r="AV11" s="635"/>
      <c r="AW11" s="635"/>
      <c r="AX11" s="635"/>
      <c r="AY11" s="635"/>
      <c r="AZ11" s="635"/>
      <c r="BA11" s="635"/>
      <c r="BB11" s="635"/>
      <c r="BC11" s="635"/>
      <c r="BD11" s="635"/>
      <c r="BE11" s="635"/>
      <c r="BF11" s="635"/>
      <c r="BG11" s="635"/>
      <c r="BH11" s="635"/>
      <c r="BI11" s="635"/>
      <c r="BJ11" s="636"/>
    </row>
    <row r="12" spans="2:62" x14ac:dyDescent="0.25">
      <c r="B12" s="549" t="s">
        <v>541</v>
      </c>
      <c r="C12" s="547"/>
      <c r="D12" s="547"/>
      <c r="E12" s="551" t="s">
        <v>6</v>
      </c>
      <c r="F12" s="300">
        <f>'Customer Calc'!G64</f>
        <v>0</v>
      </c>
      <c r="G12" s="300">
        <f>'Customer Calc'!H64</f>
        <v>57840000</v>
      </c>
      <c r="H12" s="300">
        <f>'Customer Calc'!I64</f>
        <v>114515899.80582523</v>
      </c>
      <c r="I12" s="300">
        <f>'Customer Calc'!J64</f>
        <v>170066290.28837401</v>
      </c>
      <c r="J12" s="300">
        <f>'Customer Calc'!K64</f>
        <v>224528680.47795609</v>
      </c>
      <c r="K12" s="300">
        <f>'Customer Calc'!L64</f>
        <v>277939529.45370114</v>
      </c>
      <c r="L12" s="300">
        <f>'Customer Calc'!M64</f>
        <v>330334277.30756444</v>
      </c>
      <c r="M12" s="300">
        <f>'Customer Calc'!N64</f>
        <v>381747375.20991504</v>
      </c>
      <c r="N12" s="300">
        <f>'Customer Calc'!O64</f>
        <v>432212314.60290372</v>
      </c>
      <c r="O12" s="300">
        <f>'Customer Calc'!P64</f>
        <v>481761655.54704791</v>
      </c>
      <c r="P12" s="300">
        <f>'Customer Calc'!Q64</f>
        <v>530427054.24572659</v>
      </c>
      <c r="Q12" s="300">
        <f>'Customer Calc'!R64</f>
        <v>471939330.53104001</v>
      </c>
      <c r="R12" s="300">
        <f>'Customer Calc'!S64</f>
        <v>414767787.22145236</v>
      </c>
      <c r="S12" s="300">
        <f>'Customer Calc'!T64</f>
        <v>358870602.85560358</v>
      </c>
      <c r="T12" s="300">
        <f>'Customer Calc'!U64</f>
        <v>304207142.6979624</v>
      </c>
      <c r="U12" s="300">
        <f>'Customer Calc'!V64</f>
        <v>250737923.89162117</v>
      </c>
      <c r="V12" s="300">
        <f>'Customer Calc'!W64</f>
        <v>198424581.62351674</v>
      </c>
      <c r="W12" s="300">
        <f>'Customer Calc'!X64</f>
        <v>147229836.27256626</v>
      </c>
      <c r="X12" s="300">
        <f>'Customer Calc'!Y64</f>
        <v>97117461.512065828</v>
      </c>
      <c r="Y12" s="300">
        <f>'Customer Calc'!Z64</f>
        <v>48052253.338535063</v>
      </c>
      <c r="Z12" s="300">
        <f>'Customer Calc'!AA64</f>
        <v>0</v>
      </c>
      <c r="AA12" s="300">
        <f>'Customer Calc'!AB64</f>
        <v>0</v>
      </c>
      <c r="AB12" s="300">
        <f>'Customer Calc'!AC64</f>
        <v>0</v>
      </c>
      <c r="AC12" s="300">
        <f>'Customer Calc'!AD64</f>
        <v>0</v>
      </c>
      <c r="AD12" s="300">
        <f>'Customer Calc'!AE64</f>
        <v>0</v>
      </c>
      <c r="AE12" s="303">
        <f>'Customer Calc'!AF64</f>
        <v>0</v>
      </c>
      <c r="AG12" s="549" t="s">
        <v>541</v>
      </c>
      <c r="AH12" s="547"/>
      <c r="AI12" s="547"/>
      <c r="AJ12" s="551" t="s">
        <v>6</v>
      </c>
      <c r="AK12" s="300">
        <f>'Customer Calc'!AM64</f>
        <v>0</v>
      </c>
      <c r="AL12" s="300">
        <f>'Customer Calc'!AN64</f>
        <v>240989000</v>
      </c>
      <c r="AM12" s="300">
        <f>'Customer Calc'!AO64</f>
        <v>491105165.91262138</v>
      </c>
      <c r="AN12" s="300">
        <f>'Customer Calc'!AP64</f>
        <v>751164457.57500124</v>
      </c>
      <c r="AO12" s="300">
        <f>'Customer Calc'!AQ64</f>
        <v>1022031549.5783849</v>
      </c>
      <c r="AP12" s="300">
        <f>'Customer Calc'!AR64</f>
        <v>1304623268.5902905</v>
      </c>
      <c r="AQ12" s="300">
        <f>'Customer Calc'!AS64</f>
        <v>1599912255.9257951</v>
      </c>
      <c r="AR12" s="300">
        <f>'Customer Calc'!AT64</f>
        <v>1908930870.6067607</v>
      </c>
      <c r="AS12" s="300">
        <f>'Customer Calc'!AU64</f>
        <v>2232775349.164537</v>
      </c>
      <c r="AT12" s="300">
        <f>'Customer Calc'!AV64</f>
        <v>2572610239.5266418</v>
      </c>
      <c r="AU12" s="300">
        <f>'Customer Calc'!AW64</f>
        <v>2929673127.4856849</v>
      </c>
      <c r="AV12" s="300">
        <f>'Customer Calc'!AX64</f>
        <v>2844342842.2191114</v>
      </c>
      <c r="AW12" s="300">
        <f>'Customer Calc'!AY64</f>
        <v>2761497905.0670986</v>
      </c>
      <c r="AX12" s="300">
        <f>'Customer Calc'!AZ64</f>
        <v>2681065927.2496104</v>
      </c>
      <c r="AY12" s="300">
        <f>'Customer Calc'!BA64</f>
        <v>2602976628.3976798</v>
      </c>
      <c r="AZ12" s="300">
        <f>'Customer Calc'!BB64</f>
        <v>2527161775.1433787</v>
      </c>
      <c r="BA12" s="300">
        <f>'Customer Calc'!BC64</f>
        <v>2298873452.657238</v>
      </c>
      <c r="BB12" s="300">
        <f>'Customer Calc'!BD64</f>
        <v>2066870632.8000822</v>
      </c>
      <c r="BC12" s="300">
        <f>'Customer Calc'!BE64</f>
        <v>1830567138.8042984</v>
      </c>
      <c r="BD12" s="300">
        <f>'Customer Calc'!BF64</f>
        <v>1589347344.4892454</v>
      </c>
      <c r="BE12" s="300">
        <f>'Customer Calc'!BG64</f>
        <v>1342563915.002121</v>
      </c>
      <c r="BF12" s="300">
        <f>'Customer Calc'!BH64</f>
        <v>1089535404.5228903</v>
      </c>
      <c r="BG12" s="300">
        <f>'Customer Calc'!BI64</f>
        <v>829543701.10711551</v>
      </c>
      <c r="BH12" s="300">
        <f>'Customer Calc'!BJ64</f>
        <v>561831308.1892451</v>
      </c>
      <c r="BI12" s="300">
        <f>'Customer Calc'!BK64</f>
        <v>285598451.57380122</v>
      </c>
      <c r="BJ12" s="303">
        <f>'Customer Calc'!BL64</f>
        <v>0</v>
      </c>
    </row>
    <row r="13" spans="2:62" x14ac:dyDescent="0.25">
      <c r="B13" s="549"/>
      <c r="C13" s="550" t="s">
        <v>540</v>
      </c>
      <c r="D13" s="547"/>
      <c r="E13" s="551" t="s">
        <v>6</v>
      </c>
      <c r="F13" s="300">
        <f>'Customer Sector'!$F$72*F12</f>
        <v>0</v>
      </c>
      <c r="G13" s="300">
        <f>'Customer Sector'!$F$72*G12</f>
        <v>4627200</v>
      </c>
      <c r="H13" s="300">
        <f>'Customer Sector'!$F$72*H12</f>
        <v>9161271.9844660182</v>
      </c>
      <c r="I13" s="300">
        <f>'Customer Sector'!$F$72*I12</f>
        <v>13605303.223069921</v>
      </c>
      <c r="J13" s="300">
        <f>'Customer Sector'!$F$72*J12</f>
        <v>17962294.438236486</v>
      </c>
      <c r="K13" s="300">
        <f>'Customer Sector'!$F$72*K12</f>
        <v>22235162.356296092</v>
      </c>
      <c r="L13" s="300">
        <f>'Customer Sector'!$F$72*L12</f>
        <v>26426742.184605155</v>
      </c>
      <c r="M13" s="300">
        <f>'Customer Sector'!$F$72*M12</f>
        <v>30539790.016793203</v>
      </c>
      <c r="N13" s="300">
        <f>'Customer Sector'!$F$72*N12</f>
        <v>34576985.168232299</v>
      </c>
      <c r="O13" s="300">
        <f>'Customer Sector'!$F$72*O12</f>
        <v>38540932.443763837</v>
      </c>
      <c r="P13" s="300">
        <f>'Customer Sector'!$F$72*P12</f>
        <v>42434164.339658126</v>
      </c>
      <c r="Q13" s="300">
        <f>'Customer Sector'!$F$72*Q12</f>
        <v>37755146.442483202</v>
      </c>
      <c r="R13" s="300">
        <f>'Customer Sector'!$F$72*R12</f>
        <v>33181422.977716189</v>
      </c>
      <c r="S13" s="300">
        <f>'Customer Sector'!$F$72*S12</f>
        <v>28709648.228448287</v>
      </c>
      <c r="T13" s="300">
        <f>'Customer Sector'!$F$72*T12</f>
        <v>24336571.415836994</v>
      </c>
      <c r="U13" s="300">
        <f>'Customer Sector'!$F$72*U12</f>
        <v>20059033.911329694</v>
      </c>
      <c r="V13" s="300">
        <f>'Customer Sector'!$F$72*V12</f>
        <v>15873966.52988134</v>
      </c>
      <c r="W13" s="300">
        <f>'Customer Sector'!$F$72*W12</f>
        <v>11778386.9018053</v>
      </c>
      <c r="X13" s="300">
        <f>'Customer Sector'!$F$72*X12</f>
        <v>7769396.9209652664</v>
      </c>
      <c r="Y13" s="300">
        <f>'Customer Sector'!$F$72*Y12</f>
        <v>3844180.2670828053</v>
      </c>
      <c r="Z13" s="300">
        <f>'Customer Sector'!$F$72*Z12</f>
        <v>0</v>
      </c>
      <c r="AA13" s="300">
        <f>'Customer Sector'!$F$72*AA12</f>
        <v>0</v>
      </c>
      <c r="AB13" s="300">
        <f>'Customer Sector'!$F$72*AB12</f>
        <v>0</v>
      </c>
      <c r="AC13" s="300">
        <f>'Customer Sector'!$F$72*AC12</f>
        <v>0</v>
      </c>
      <c r="AD13" s="300">
        <f>'Customer Sector'!$F$72*AD12</f>
        <v>0</v>
      </c>
      <c r="AE13" s="303">
        <f>'Customer Sector'!$F$72*AE12</f>
        <v>0</v>
      </c>
      <c r="AG13" s="549"/>
      <c r="AH13" s="550" t="s">
        <v>540</v>
      </c>
      <c r="AI13" s="547"/>
      <c r="AJ13" s="551" t="s">
        <v>6</v>
      </c>
      <c r="AK13" s="300">
        <f>'Customer Sector'!$L$72*AK12</f>
        <v>0</v>
      </c>
      <c r="AL13" s="300">
        <f>'Customer Sector'!$L$72*AL12</f>
        <v>24098900</v>
      </c>
      <c r="AM13" s="300">
        <f>'Customer Sector'!$L$72*AM12</f>
        <v>49110516.591262139</v>
      </c>
      <c r="AN13" s="300">
        <f>'Customer Sector'!$L$72*AN12</f>
        <v>75116445.757500127</v>
      </c>
      <c r="AO13" s="300">
        <f>'Customer Sector'!$L$72*AO12</f>
        <v>102203154.95783849</v>
      </c>
      <c r="AP13" s="300">
        <f>'Customer Sector'!$L$72*AP12</f>
        <v>130462326.85902905</v>
      </c>
      <c r="AQ13" s="300">
        <f>'Customer Sector'!$L$72*AQ12</f>
        <v>159991225.59257951</v>
      </c>
      <c r="AR13" s="300">
        <f>'Customer Sector'!$L$72*AR12</f>
        <v>190893087.0606761</v>
      </c>
      <c r="AS13" s="300">
        <f>'Customer Sector'!$L$72*AS12</f>
        <v>223277534.91645372</v>
      </c>
      <c r="AT13" s="300">
        <f>'Customer Sector'!$L$72*AT12</f>
        <v>257261023.9526642</v>
      </c>
      <c r="AU13" s="300">
        <f>'Customer Sector'!$L$72*AU12</f>
        <v>292967312.74856848</v>
      </c>
      <c r="AV13" s="300">
        <f>'Customer Sector'!$L$72*AV12</f>
        <v>284434284.22191113</v>
      </c>
      <c r="AW13" s="300">
        <f>'Customer Sector'!$L$72*AW12</f>
        <v>276149790.50670987</v>
      </c>
      <c r="AX13" s="300">
        <f>'Customer Sector'!$L$72*AX12</f>
        <v>268106592.72496104</v>
      </c>
      <c r="AY13" s="300">
        <f>'Customer Sector'!$L$72*AY12</f>
        <v>260297662.83976799</v>
      </c>
      <c r="AZ13" s="300">
        <f>'Customer Sector'!$L$72*AZ12</f>
        <v>252716177.5143379</v>
      </c>
      <c r="BA13" s="300">
        <f>'Customer Sector'!$L$72*BA12</f>
        <v>229887345.26572382</v>
      </c>
      <c r="BB13" s="300">
        <f>'Customer Sector'!$L$72*BB12</f>
        <v>206687063.28000823</v>
      </c>
      <c r="BC13" s="300">
        <f>'Customer Sector'!$L$72*BC12</f>
        <v>183056713.88042986</v>
      </c>
      <c r="BD13" s="300">
        <f>'Customer Sector'!$L$72*BD12</f>
        <v>158934734.44892454</v>
      </c>
      <c r="BE13" s="300">
        <f>'Customer Sector'!$L$72*BE12</f>
        <v>134256391.5002121</v>
      </c>
      <c r="BF13" s="300">
        <f>'Customer Sector'!$L$72*BF12</f>
        <v>108953540.45228904</v>
      </c>
      <c r="BG13" s="300">
        <f>'Customer Sector'!$L$72*BG12</f>
        <v>82954370.11071156</v>
      </c>
      <c r="BH13" s="300">
        <f>'Customer Sector'!$L$72*BH12</f>
        <v>56183130.818924516</v>
      </c>
      <c r="BI13" s="300">
        <f>'Customer Sector'!$L$72*BI12</f>
        <v>28559845.157380123</v>
      </c>
      <c r="BJ13" s="303">
        <f>'Customer Sector'!$L$72*BJ12</f>
        <v>0</v>
      </c>
    </row>
    <row r="14" spans="2:62" x14ac:dyDescent="0.25">
      <c r="B14" s="549"/>
      <c r="C14" s="550" t="s">
        <v>539</v>
      </c>
      <c r="D14" s="547"/>
      <c r="E14" s="551" t="s">
        <v>6</v>
      </c>
      <c r="F14" s="300">
        <f>(1-'Customer Sector'!$F$72)*(F12)</f>
        <v>0</v>
      </c>
      <c r="G14" s="300">
        <f>(1-'Customer Sector'!$F$72)*(G12)</f>
        <v>53212800</v>
      </c>
      <c r="H14" s="300">
        <f>(1-'Customer Sector'!$F$72)*(H12)</f>
        <v>105354627.82135922</v>
      </c>
      <c r="I14" s="300">
        <f>(1-'Customer Sector'!$F$72)*(I12)</f>
        <v>156460987.0653041</v>
      </c>
      <c r="J14" s="300">
        <f>(1-'Customer Sector'!$F$72)*(J12)</f>
        <v>206566386.03971961</v>
      </c>
      <c r="K14" s="300">
        <f>(1-'Customer Sector'!$F$72)*(K12)</f>
        <v>255704367.09740505</v>
      </c>
      <c r="L14" s="300">
        <f>(1-'Customer Sector'!$F$72)*(L12)</f>
        <v>303907535.12295932</v>
      </c>
      <c r="M14" s="300">
        <f>(1-'Customer Sector'!$F$72)*(M12)</f>
        <v>351207585.19312185</v>
      </c>
      <c r="N14" s="300">
        <f>(1-'Customer Sector'!$F$72)*(N12)</f>
        <v>397635329.43467146</v>
      </c>
      <c r="O14" s="300">
        <f>(1-'Customer Sector'!$F$72)*(O12)</f>
        <v>443220723.10328412</v>
      </c>
      <c r="P14" s="300">
        <f>(1-'Customer Sector'!$F$72)*(P12)</f>
        <v>487992889.9060685</v>
      </c>
      <c r="Q14" s="300">
        <f>(1-'Customer Sector'!$F$72)*(Q12)</f>
        <v>434184184.08855683</v>
      </c>
      <c r="R14" s="300">
        <f>(1-'Customer Sector'!$F$72)*(R12)</f>
        <v>381586364.24373621</v>
      </c>
      <c r="S14" s="300">
        <f>(1-'Customer Sector'!$F$72)*(S12)</f>
        <v>330160954.6271553</v>
      </c>
      <c r="T14" s="300">
        <f>(1-'Customer Sector'!$F$72)*(T12)</f>
        <v>279870571.28212541</v>
      </c>
      <c r="U14" s="300">
        <f>(1-'Customer Sector'!$F$72)*(U12)</f>
        <v>230678889.98029149</v>
      </c>
      <c r="V14" s="300">
        <f>(1-'Customer Sector'!$F$72)*(V12)</f>
        <v>182550615.09363541</v>
      </c>
      <c r="W14" s="300">
        <f>(1-'Customer Sector'!$F$72)*(W12)</f>
        <v>135451449.37076098</v>
      </c>
      <c r="X14" s="300">
        <f>(1-'Customer Sector'!$F$72)*(X12)</f>
        <v>89348064.591100559</v>
      </c>
      <c r="Y14" s="300">
        <f>(1-'Customer Sector'!$F$72)*(Y12)</f>
        <v>44208073.07145226</v>
      </c>
      <c r="Z14" s="300">
        <f>(1-'Customer Sector'!$F$72)*(Z12)</f>
        <v>0</v>
      </c>
      <c r="AA14" s="300">
        <f>(1-'Customer Sector'!$F$72)*(AA12)</f>
        <v>0</v>
      </c>
      <c r="AB14" s="300">
        <f>(1-'Customer Sector'!$F$72)*(AB12)</f>
        <v>0</v>
      </c>
      <c r="AC14" s="300">
        <f>(1-'Customer Sector'!$F$72)*(AC12)</f>
        <v>0</v>
      </c>
      <c r="AD14" s="300">
        <f>(1-'Customer Sector'!$F$72)*(AD12)</f>
        <v>0</v>
      </c>
      <c r="AE14" s="303">
        <f>(1-'Customer Sector'!$F$72)*(AE12)</f>
        <v>0</v>
      </c>
      <c r="AG14" s="549"/>
      <c r="AH14" s="550" t="s">
        <v>539</v>
      </c>
      <c r="AI14" s="547"/>
      <c r="AJ14" s="551" t="s">
        <v>6</v>
      </c>
      <c r="AK14" s="300">
        <f>(1-'Customer Sector'!$L$72)*(AK12)</f>
        <v>0</v>
      </c>
      <c r="AL14" s="300">
        <f>(1-'Customer Sector'!$L$72)*(AL12)</f>
        <v>216890100</v>
      </c>
      <c r="AM14" s="300">
        <f>(1-'Customer Sector'!$L$72)*(AM12)</f>
        <v>441994649.32135928</v>
      </c>
      <c r="AN14" s="300">
        <f>(1-'Customer Sector'!$L$72)*(AN12)</f>
        <v>676048011.81750119</v>
      </c>
      <c r="AO14" s="300">
        <f>(1-'Customer Sector'!$L$72)*(AO12)</f>
        <v>919828394.62054646</v>
      </c>
      <c r="AP14" s="300">
        <f>(1-'Customer Sector'!$L$72)*(AP12)</f>
        <v>1174160941.7312615</v>
      </c>
      <c r="AQ14" s="300">
        <f>(1-'Customer Sector'!$L$72)*(AQ12)</f>
        <v>1439921030.3332157</v>
      </c>
      <c r="AR14" s="300">
        <f>(1-'Customer Sector'!$L$72)*(AR12)</f>
        <v>1718037783.5460846</v>
      </c>
      <c r="AS14" s="300">
        <f>(1-'Customer Sector'!$L$72)*(AS12)</f>
        <v>2009497814.2480834</v>
      </c>
      <c r="AT14" s="300">
        <f>(1-'Customer Sector'!$L$72)*(AT12)</f>
        <v>2315349215.5739779</v>
      </c>
      <c r="AU14" s="300">
        <f>(1-'Customer Sector'!$L$72)*(AU12)</f>
        <v>2636705814.7371163</v>
      </c>
      <c r="AV14" s="300">
        <f>(1-'Customer Sector'!$L$72)*(AV12)</f>
        <v>2559908557.9972005</v>
      </c>
      <c r="AW14" s="300">
        <f>(1-'Customer Sector'!$L$72)*(AW12)</f>
        <v>2485348114.560389</v>
      </c>
      <c r="AX14" s="300">
        <f>(1-'Customer Sector'!$L$72)*(AX12)</f>
        <v>2412959334.5246496</v>
      </c>
      <c r="AY14" s="300">
        <f>(1-'Customer Sector'!$L$72)*(AY12)</f>
        <v>2342678965.5579119</v>
      </c>
      <c r="AZ14" s="300">
        <f>(1-'Customer Sector'!$L$72)*(AZ12)</f>
        <v>2274445597.6290407</v>
      </c>
      <c r="BA14" s="300">
        <f>(1-'Customer Sector'!$L$72)*(BA12)</f>
        <v>2068986107.3915143</v>
      </c>
      <c r="BB14" s="300">
        <f>(1-'Customer Sector'!$L$72)*(BB12)</f>
        <v>1860183569.5200741</v>
      </c>
      <c r="BC14" s="300">
        <f>(1-'Customer Sector'!$L$72)*(BC12)</f>
        <v>1647510424.9238687</v>
      </c>
      <c r="BD14" s="300">
        <f>(1-'Customer Sector'!$L$72)*(BD12)</f>
        <v>1430412610.0403209</v>
      </c>
      <c r="BE14" s="300">
        <f>(1-'Customer Sector'!$L$72)*(BE12)</f>
        <v>1208307523.501909</v>
      </c>
      <c r="BF14" s="300">
        <f>(1-'Customer Sector'!$L$72)*(BF12)</f>
        <v>980581864.07060134</v>
      </c>
      <c r="BG14" s="300">
        <f>(1-'Customer Sector'!$L$72)*(BG12)</f>
        <v>746589330.99640393</v>
      </c>
      <c r="BH14" s="300">
        <f>(1-'Customer Sector'!$L$72)*(BH12)</f>
        <v>505648177.37032062</v>
      </c>
      <c r="BI14" s="300">
        <f>(1-'Customer Sector'!$L$72)*(BI12)</f>
        <v>257038606.41642112</v>
      </c>
      <c r="BJ14" s="303">
        <f>(1-'Customer Sector'!$L$72)*(BJ12)</f>
        <v>0</v>
      </c>
    </row>
    <row r="15" spans="2:62" x14ac:dyDescent="0.25">
      <c r="B15" s="549" t="s">
        <v>538</v>
      </c>
      <c r="C15" s="547"/>
      <c r="D15" s="547"/>
      <c r="E15" s="551" t="s">
        <v>6</v>
      </c>
      <c r="F15" s="300">
        <f>'Customer Calc'!G76</f>
        <v>0</v>
      </c>
      <c r="G15" s="300">
        <f>'Customer Calc'!H76</f>
        <v>10200</v>
      </c>
      <c r="H15" s="300">
        <f ca="1">'Customer Calc'!I76</f>
        <v>20153.912621359221</v>
      </c>
      <c r="I15" s="300">
        <f ca="1">'Customer Calc'!J76</f>
        <v>29869.160457630307</v>
      </c>
      <c r="J15" s="300">
        <f ca="1">'Customer Calc'!K76</f>
        <v>39352.951185320679</v>
      </c>
      <c r="K15" s="300">
        <f ca="1">'Customer Calc'!L76</f>
        <v>48612.283829987311</v>
      </c>
      <c r="L15" s="300">
        <f ca="1">'Customer Calc'!M76</f>
        <v>57653.954849855705</v>
      </c>
      <c r="M15" s="300">
        <f ca="1">'Customer Calc'!N76</f>
        <v>66484.564042278245</v>
      </c>
      <c r="N15" s="300">
        <f ca="1">'Customer Calc'!O76</f>
        <v>75110.520278191849</v>
      </c>
      <c r="O15" s="300">
        <f ca="1">'Customer Calc'!P76</f>
        <v>83538.047069584936</v>
      </c>
      <c r="P15" s="300">
        <f ca="1">'Customer Calc'!Q76</f>
        <v>91773.187974837841</v>
      </c>
      <c r="Q15" s="300">
        <f ca="1">'Customer Calc'!R76</f>
        <v>81510.424567895971</v>
      </c>
      <c r="R15" s="300">
        <f ca="1">'Customer Calc'!S76</f>
        <v>71508.627810331498</v>
      </c>
      <c r="S15" s="300">
        <f ca="1">'Customer Calc'!T76</f>
        <v>61760.006987825953</v>
      </c>
      <c r="T15" s="300">
        <f ca="1">'Customer Calc'!U76</f>
        <v>52256.997351350292</v>
      </c>
      <c r="U15" s="300">
        <f ca="1">'Customer Calc'!V76</f>
        <v>42992.25353090823</v>
      </c>
      <c r="V15" s="300">
        <f ca="1">'Customer Calc'!W76</f>
        <v>33958.643141088192</v>
      </c>
      <c r="W15" s="300">
        <f ca="1">'Customer Calc'!X76</f>
        <v>25149.240572837734</v>
      </c>
      <c r="X15" s="300">
        <f ca="1">'Customer Calc'!Y76</f>
        <v>16557.320966036004</v>
      </c>
      <c r="Y15" s="300">
        <f ca="1">'Customer Calc'!Z76</f>
        <v>8176.3543575983012</v>
      </c>
      <c r="Z15" s="300">
        <f>'Customer Calc'!AA76</f>
        <v>0</v>
      </c>
      <c r="AA15" s="300">
        <f>'Customer Calc'!AB76</f>
        <v>0</v>
      </c>
      <c r="AB15" s="300">
        <f>'Customer Calc'!AC76</f>
        <v>0</v>
      </c>
      <c r="AC15" s="300">
        <f>'Customer Calc'!AD76</f>
        <v>0</v>
      </c>
      <c r="AD15" s="300">
        <f>'Customer Calc'!AE76</f>
        <v>0</v>
      </c>
      <c r="AE15" s="303">
        <f>'Customer Calc'!AF76</f>
        <v>0</v>
      </c>
      <c r="AG15" s="549" t="s">
        <v>538</v>
      </c>
      <c r="AH15" s="547"/>
      <c r="AI15" s="547"/>
      <c r="AJ15" s="551" t="s">
        <v>6</v>
      </c>
      <c r="AK15" s="300">
        <f>'Customer Calc'!AM76</f>
        <v>0</v>
      </c>
      <c r="AL15" s="300">
        <f>'Customer Calc'!AN76</f>
        <v>55348</v>
      </c>
      <c r="AM15" s="300">
        <f>'Customer Calc'!AO76</f>
        <v>109803.44633009708</v>
      </c>
      <c r="AN15" s="300">
        <f>'Customer Calc'!AP76</f>
        <v>163401.68951112338</v>
      </c>
      <c r="AO15" s="300">
        <f>'Customer Calc'!AQ76</f>
        <v>216177.17203664663</v>
      </c>
      <c r="AP15" s="300">
        <f>'Customer Calc'!AR76</f>
        <v>268163.45640116057</v>
      </c>
      <c r="AQ15" s="300">
        <f>'Customer Calc'!AS76</f>
        <v>319393.25233247032</v>
      </c>
      <c r="AR15" s="300">
        <f>'Customer Calc'!AT76</f>
        <v>369898.44325171929</v>
      </c>
      <c r="AS15" s="300">
        <f>'Customer Calc'!AU76</f>
        <v>419710.11198382353</v>
      </c>
      <c r="AT15" s="300">
        <f>'Customer Calc'!AV76</f>
        <v>468858.56574042083</v>
      </c>
      <c r="AU15" s="300">
        <f>'Customer Calc'!AW76</f>
        <v>517373.36039680138</v>
      </c>
      <c r="AV15" s="300">
        <f>'Customer Calc'!AX76</f>
        <v>502304.23339495278</v>
      </c>
      <c r="AW15" s="300">
        <f>'Customer Calc'!AY76</f>
        <v>487674.01300480851</v>
      </c>
      <c r="AX15" s="300">
        <f>'Customer Calc'!AZ76</f>
        <v>473469.91553864907</v>
      </c>
      <c r="AY15" s="300">
        <f>'Customer Calc'!BA76</f>
        <v>459679.52964917372</v>
      </c>
      <c r="AZ15" s="300">
        <f>'Customer Calc'!BB76</f>
        <v>446290.80548463471</v>
      </c>
      <c r="BA15" s="300">
        <f>'Customer Calc'!BC76</f>
        <v>397766.26909532608</v>
      </c>
      <c r="BB15" s="300">
        <f>'Customer Calc'!BD76</f>
        <v>350193.23364151776</v>
      </c>
      <c r="BC15" s="300">
        <f>'Customer Calc'!BE76</f>
        <v>303537.98164774338</v>
      </c>
      <c r="BD15" s="300">
        <f>'Customer Calc'!BF76</f>
        <v>257767.69965080085</v>
      </c>
      <c r="BE15" s="300">
        <f>'Customer Calc'!BG76</f>
        <v>212850.45085464648</v>
      </c>
      <c r="BF15" s="300">
        <f>'Customer Calc'!BH76</f>
        <v>168755.1485685581</v>
      </c>
      <c r="BG15" s="300">
        <f>'Customer Calc'!BI76</f>
        <v>125451.53040558161</v>
      </c>
      <c r="BH15" s="300">
        <f>'Customer Calc'!BJ76</f>
        <v>82910.133218943753</v>
      </c>
      <c r="BI15" s="300">
        <f>'Customer Calc'!BK76</f>
        <v>41102.268754760473</v>
      </c>
      <c r="BJ15" s="303">
        <f>'Customer Calc'!BL76</f>
        <v>0</v>
      </c>
    </row>
    <row r="16" spans="2:62" x14ac:dyDescent="0.25">
      <c r="B16" s="549"/>
      <c r="C16" s="550"/>
      <c r="D16" s="550"/>
      <c r="E16" s="551"/>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263"/>
      <c r="AG16" s="549"/>
      <c r="AH16" s="550"/>
      <c r="AI16" s="550"/>
      <c r="AJ16" s="551"/>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263"/>
    </row>
    <row r="17" spans="1:73" x14ac:dyDescent="0.25">
      <c r="B17" s="549" t="s">
        <v>537</v>
      </c>
      <c r="C17" s="547"/>
      <c r="D17" s="547"/>
      <c r="E17" s="551" t="s">
        <v>119</v>
      </c>
      <c r="F17" s="633">
        <f>'Utility Calc'!G28</f>
        <v>54.51</v>
      </c>
      <c r="G17" s="633">
        <f>'Utility Calc'!H28</f>
        <v>58.053149999999995</v>
      </c>
      <c r="H17" s="633">
        <f>'Utility Calc'!I28</f>
        <v>61.826604749999994</v>
      </c>
      <c r="I17" s="633">
        <f>'Utility Calc'!J28</f>
        <v>65.845334058749984</v>
      </c>
      <c r="J17" s="633">
        <f>'Utility Calc'!K28</f>
        <v>70.125280772568729</v>
      </c>
      <c r="K17" s="633">
        <f>'Utility Calc'!L28</f>
        <v>74.683424022785687</v>
      </c>
      <c r="L17" s="633">
        <f>'Utility Calc'!M28</f>
        <v>79.537846584266759</v>
      </c>
      <c r="M17" s="633">
        <f>'Utility Calc'!N28</f>
        <v>84.707806612244099</v>
      </c>
      <c r="N17" s="633">
        <f>'Utility Calc'!O28</f>
        <v>90.213814042039957</v>
      </c>
      <c r="O17" s="633">
        <f>'Utility Calc'!P28</f>
        <v>96.077711954772553</v>
      </c>
      <c r="P17" s="633">
        <f>'Utility Calc'!Q28</f>
        <v>102.32276323183277</v>
      </c>
      <c r="Q17" s="633">
        <f>'Utility Calc'!R28</f>
        <v>108.9737428419019</v>
      </c>
      <c r="R17" s="633">
        <f>'Utility Calc'!S28</f>
        <v>116.05703612662552</v>
      </c>
      <c r="S17" s="633">
        <f>'Utility Calc'!T28</f>
        <v>123.60074347485617</v>
      </c>
      <c r="T17" s="633">
        <f>'Utility Calc'!U28</f>
        <v>131.63479180072181</v>
      </c>
      <c r="U17" s="633">
        <f>'Utility Calc'!V28</f>
        <v>140.19105326776872</v>
      </c>
      <c r="V17" s="633">
        <f>'Utility Calc'!W28</f>
        <v>149.30347173017367</v>
      </c>
      <c r="W17" s="633">
        <f>'Utility Calc'!X28</f>
        <v>159.00819739263494</v>
      </c>
      <c r="X17" s="633">
        <f>'Utility Calc'!Y28</f>
        <v>169.3437302231562</v>
      </c>
      <c r="Y17" s="633">
        <f>'Utility Calc'!Z28</f>
        <v>180.35107268766134</v>
      </c>
      <c r="Z17" s="633">
        <f>'Utility Calc'!AA28</f>
        <v>192.07389241235933</v>
      </c>
      <c r="AA17" s="633">
        <f>'Utility Calc'!AB28</f>
        <v>204.55869541916266</v>
      </c>
      <c r="AB17" s="633">
        <f>'Utility Calc'!AC28</f>
        <v>217.85501062140821</v>
      </c>
      <c r="AC17" s="633">
        <f>'Utility Calc'!AD28</f>
        <v>232.01558631179972</v>
      </c>
      <c r="AD17" s="633">
        <f>'Utility Calc'!AE28</f>
        <v>247.0965994220667</v>
      </c>
      <c r="AE17" s="633">
        <f>'Utility Calc'!AF28</f>
        <v>263.15787838450103</v>
      </c>
      <c r="AG17" s="549" t="s">
        <v>537</v>
      </c>
      <c r="AH17" s="547"/>
      <c r="AI17" s="547"/>
      <c r="AJ17" s="551" t="s">
        <v>119</v>
      </c>
      <c r="AK17" s="633">
        <f>'Utility Calc'!G28</f>
        <v>54.51</v>
      </c>
      <c r="AL17" s="633">
        <f>'Utility Calc'!H28</f>
        <v>58.053149999999995</v>
      </c>
      <c r="AM17" s="633">
        <f>'Utility Calc'!I28</f>
        <v>61.826604749999994</v>
      </c>
      <c r="AN17" s="633">
        <f>'Utility Calc'!J28</f>
        <v>65.845334058749984</v>
      </c>
      <c r="AO17" s="633">
        <f>'Utility Calc'!K28</f>
        <v>70.125280772568729</v>
      </c>
      <c r="AP17" s="633">
        <f>'Utility Calc'!L28</f>
        <v>74.683424022785687</v>
      </c>
      <c r="AQ17" s="633">
        <f>'Utility Calc'!M28</f>
        <v>79.537846584266759</v>
      </c>
      <c r="AR17" s="633">
        <f>'Utility Calc'!N28</f>
        <v>84.707806612244099</v>
      </c>
      <c r="AS17" s="633">
        <f>'Utility Calc'!O28</f>
        <v>90.213814042039957</v>
      </c>
      <c r="AT17" s="633">
        <f>'Utility Calc'!P28</f>
        <v>96.077711954772553</v>
      </c>
      <c r="AU17" s="633">
        <f>'Utility Calc'!Q28</f>
        <v>102.32276323183277</v>
      </c>
      <c r="AV17" s="633">
        <f>'Utility Calc'!R28</f>
        <v>108.9737428419019</v>
      </c>
      <c r="AW17" s="633">
        <f>'Utility Calc'!S28</f>
        <v>116.05703612662552</v>
      </c>
      <c r="AX17" s="633">
        <f>'Utility Calc'!T28</f>
        <v>123.60074347485617</v>
      </c>
      <c r="AY17" s="633">
        <f>'Utility Calc'!U28</f>
        <v>131.63479180072181</v>
      </c>
      <c r="AZ17" s="633">
        <f>'Utility Calc'!V28</f>
        <v>140.19105326776872</v>
      </c>
      <c r="BA17" s="633">
        <f>'Utility Calc'!W28</f>
        <v>149.30347173017367</v>
      </c>
      <c r="BB17" s="633">
        <f>'Utility Calc'!X28</f>
        <v>159.00819739263494</v>
      </c>
      <c r="BC17" s="633">
        <f>'Utility Calc'!Y28</f>
        <v>169.3437302231562</v>
      </c>
      <c r="BD17" s="633">
        <f>'Utility Calc'!Z28</f>
        <v>180.35107268766134</v>
      </c>
      <c r="BE17" s="633">
        <f>'Utility Calc'!AA28</f>
        <v>192.07389241235933</v>
      </c>
      <c r="BF17" s="633">
        <f>'Utility Calc'!AB28</f>
        <v>204.55869541916266</v>
      </c>
      <c r="BG17" s="633">
        <f>'Utility Calc'!AC28</f>
        <v>217.85501062140821</v>
      </c>
      <c r="BH17" s="633">
        <f>'Utility Calc'!AD28</f>
        <v>232.01558631179972</v>
      </c>
      <c r="BI17" s="633">
        <f>'Utility Calc'!AE28</f>
        <v>247.0965994220667</v>
      </c>
      <c r="BJ17" s="634">
        <f>'Utility Calc'!AF28</f>
        <v>263.15787838450103</v>
      </c>
    </row>
    <row r="18" spans="1:73" x14ac:dyDescent="0.25">
      <c r="B18" s="549" t="s">
        <v>536</v>
      </c>
      <c r="C18" s="547"/>
      <c r="D18" s="547"/>
      <c r="E18" s="551" t="s">
        <v>119</v>
      </c>
      <c r="F18" s="633">
        <f>'Utility Calc'!G29</f>
        <v>37.53</v>
      </c>
      <c r="G18" s="633">
        <f>'Utility Calc'!H29</f>
        <v>39.969450000000002</v>
      </c>
      <c r="H18" s="633">
        <f>'Utility Calc'!I29</f>
        <v>42.56746425</v>
      </c>
      <c r="I18" s="633">
        <f>'Utility Calc'!J29</f>
        <v>45.33434942625</v>
      </c>
      <c r="J18" s="633">
        <f>'Utility Calc'!K29</f>
        <v>48.281082138956251</v>
      </c>
      <c r="K18" s="633">
        <f>'Utility Calc'!L29</f>
        <v>51.419352477988404</v>
      </c>
      <c r="L18" s="633">
        <f>'Utility Calc'!M29</f>
        <v>54.761610389057651</v>
      </c>
      <c r="M18" s="633">
        <f>'Utility Calc'!N29</f>
        <v>58.321115064346394</v>
      </c>
      <c r="N18" s="633">
        <f>'Utility Calc'!O29</f>
        <v>62.111987543528905</v>
      </c>
      <c r="O18" s="633">
        <f>'Utility Calc'!P29</f>
        <v>66.149266733858283</v>
      </c>
      <c r="P18" s="633">
        <f>'Utility Calc'!Q29</f>
        <v>70.448969071559063</v>
      </c>
      <c r="Q18" s="633">
        <f>'Utility Calc'!R29</f>
        <v>75.028152061210392</v>
      </c>
      <c r="R18" s="633">
        <f>'Utility Calc'!S29</f>
        <v>79.904981945189064</v>
      </c>
      <c r="S18" s="633">
        <f>'Utility Calc'!T29</f>
        <v>85.098805771626346</v>
      </c>
      <c r="T18" s="633">
        <f>'Utility Calc'!U29</f>
        <v>90.630228146782059</v>
      </c>
      <c r="U18" s="633">
        <f>'Utility Calc'!V29</f>
        <v>96.521192976322894</v>
      </c>
      <c r="V18" s="633">
        <f>'Utility Calc'!W29</f>
        <v>102.79507051978388</v>
      </c>
      <c r="W18" s="633">
        <f>'Utility Calc'!X29</f>
        <v>109.47675010356983</v>
      </c>
      <c r="X18" s="633">
        <f>'Utility Calc'!Y29</f>
        <v>116.59273886030186</v>
      </c>
      <c r="Y18" s="633">
        <f>'Utility Calc'!Z29</f>
        <v>124.17126688622147</v>
      </c>
      <c r="Z18" s="633">
        <f>'Utility Calc'!AA29</f>
        <v>132.24239923382586</v>
      </c>
      <c r="AA18" s="633">
        <f>'Utility Calc'!AB29</f>
        <v>140.83815518402454</v>
      </c>
      <c r="AB18" s="633">
        <f>'Utility Calc'!AC29</f>
        <v>149.99263527098614</v>
      </c>
      <c r="AC18" s="633">
        <f>'Utility Calc'!AD29</f>
        <v>159.74215656360025</v>
      </c>
      <c r="AD18" s="633">
        <f>'Utility Calc'!AE29</f>
        <v>170.12539674023427</v>
      </c>
      <c r="AE18" s="633">
        <f>'Utility Calc'!AF29</f>
        <v>181.18354752834949</v>
      </c>
      <c r="AG18" s="549" t="s">
        <v>536</v>
      </c>
      <c r="AH18" s="547"/>
      <c r="AI18" s="547"/>
      <c r="AJ18" s="551" t="s">
        <v>119</v>
      </c>
      <c r="AK18" s="633">
        <f>'Utility Calc'!G29</f>
        <v>37.53</v>
      </c>
      <c r="AL18" s="633">
        <f>'Utility Calc'!H29</f>
        <v>39.969450000000002</v>
      </c>
      <c r="AM18" s="633">
        <f>'Utility Calc'!I29</f>
        <v>42.56746425</v>
      </c>
      <c r="AN18" s="633">
        <f>'Utility Calc'!J29</f>
        <v>45.33434942625</v>
      </c>
      <c r="AO18" s="633">
        <f>'Utility Calc'!K29</f>
        <v>48.281082138956251</v>
      </c>
      <c r="AP18" s="633">
        <f>'Utility Calc'!L29</f>
        <v>51.419352477988404</v>
      </c>
      <c r="AQ18" s="633">
        <f>'Utility Calc'!M29</f>
        <v>54.761610389057651</v>
      </c>
      <c r="AR18" s="633">
        <f>'Utility Calc'!N29</f>
        <v>58.321115064346394</v>
      </c>
      <c r="AS18" s="633">
        <f>'Utility Calc'!O29</f>
        <v>62.111987543528905</v>
      </c>
      <c r="AT18" s="633">
        <f>'Utility Calc'!P29</f>
        <v>66.149266733858283</v>
      </c>
      <c r="AU18" s="633">
        <f>'Utility Calc'!Q29</f>
        <v>70.448969071559063</v>
      </c>
      <c r="AV18" s="633">
        <f>'Utility Calc'!R29</f>
        <v>75.028152061210392</v>
      </c>
      <c r="AW18" s="633">
        <f>'Utility Calc'!S29</f>
        <v>79.904981945189064</v>
      </c>
      <c r="AX18" s="633">
        <f>'Utility Calc'!T29</f>
        <v>85.098805771626346</v>
      </c>
      <c r="AY18" s="633">
        <f>'Utility Calc'!U29</f>
        <v>90.630228146782059</v>
      </c>
      <c r="AZ18" s="633">
        <f>'Utility Calc'!V29</f>
        <v>96.521192976322894</v>
      </c>
      <c r="BA18" s="633">
        <f>'Utility Calc'!W29</f>
        <v>102.79507051978388</v>
      </c>
      <c r="BB18" s="633">
        <f>'Utility Calc'!X29</f>
        <v>109.47675010356983</v>
      </c>
      <c r="BC18" s="633">
        <f>'Utility Calc'!Y29</f>
        <v>116.59273886030186</v>
      </c>
      <c r="BD18" s="633">
        <f>'Utility Calc'!Z29</f>
        <v>124.17126688622147</v>
      </c>
      <c r="BE18" s="633">
        <f>'Utility Calc'!AA29</f>
        <v>132.24239923382586</v>
      </c>
      <c r="BF18" s="633">
        <f>'Utility Calc'!AB29</f>
        <v>140.83815518402454</v>
      </c>
      <c r="BG18" s="633">
        <f>'Utility Calc'!AC29</f>
        <v>149.99263527098614</v>
      </c>
      <c r="BH18" s="633">
        <f>'Utility Calc'!AD29</f>
        <v>159.74215656360025</v>
      </c>
      <c r="BI18" s="633">
        <f>'Utility Calc'!AE29</f>
        <v>170.12539674023427</v>
      </c>
      <c r="BJ18" s="634">
        <f>'Utility Calc'!AF29</f>
        <v>181.18354752834949</v>
      </c>
    </row>
    <row r="19" spans="1:73" x14ac:dyDescent="0.25">
      <c r="B19" s="585" t="s">
        <v>535</v>
      </c>
      <c r="C19" s="552"/>
      <c r="D19" s="552"/>
      <c r="E19" s="631" t="s">
        <v>534</v>
      </c>
      <c r="F19" s="619">
        <f>'CBA Sector'!$E$23</f>
        <v>170</v>
      </c>
      <c r="G19" s="619">
        <f>'CBA Sector'!$E$23</f>
        <v>170</v>
      </c>
      <c r="H19" s="619">
        <f>'CBA Sector'!$E$23</f>
        <v>170</v>
      </c>
      <c r="I19" s="619">
        <f>'CBA Sector'!$E$23</f>
        <v>170</v>
      </c>
      <c r="J19" s="619">
        <f>'CBA Sector'!$E$23</f>
        <v>170</v>
      </c>
      <c r="K19" s="619">
        <f>'CBA Sector'!$E$23</f>
        <v>170</v>
      </c>
      <c r="L19" s="619">
        <f>'CBA Sector'!$E$23</f>
        <v>170</v>
      </c>
      <c r="M19" s="619">
        <f>'CBA Sector'!$E$23</f>
        <v>170</v>
      </c>
      <c r="N19" s="619">
        <f>'CBA Sector'!$E$23</f>
        <v>170</v>
      </c>
      <c r="O19" s="619">
        <f>'CBA Sector'!$E$23</f>
        <v>170</v>
      </c>
      <c r="P19" s="619">
        <f>'CBA Sector'!$E$23</f>
        <v>170</v>
      </c>
      <c r="Q19" s="619">
        <f>'CBA Sector'!$E$23</f>
        <v>170</v>
      </c>
      <c r="R19" s="619">
        <f>'CBA Sector'!$E$23</f>
        <v>170</v>
      </c>
      <c r="S19" s="619">
        <f>'CBA Sector'!$E$23</f>
        <v>170</v>
      </c>
      <c r="T19" s="619">
        <f>'CBA Sector'!$E$23</f>
        <v>170</v>
      </c>
      <c r="U19" s="619">
        <f>'CBA Sector'!$E$23</f>
        <v>170</v>
      </c>
      <c r="V19" s="619">
        <f>'CBA Sector'!$E$23</f>
        <v>170</v>
      </c>
      <c r="W19" s="619">
        <f>'CBA Sector'!$E$23</f>
        <v>170</v>
      </c>
      <c r="X19" s="619">
        <f>'CBA Sector'!$E$23</f>
        <v>170</v>
      </c>
      <c r="Y19" s="619">
        <f>'CBA Sector'!$E$23</f>
        <v>170</v>
      </c>
      <c r="Z19" s="619">
        <f>'CBA Sector'!$E$23</f>
        <v>170</v>
      </c>
      <c r="AA19" s="619">
        <f>'CBA Sector'!$E$23</f>
        <v>170</v>
      </c>
      <c r="AB19" s="619">
        <f>'CBA Sector'!$E$23</f>
        <v>170</v>
      </c>
      <c r="AC19" s="619">
        <f>'CBA Sector'!$E$23</f>
        <v>170</v>
      </c>
      <c r="AD19" s="619">
        <f>'CBA Sector'!$E$23</f>
        <v>170</v>
      </c>
      <c r="AE19" s="619">
        <f>'CBA Sector'!$E$23</f>
        <v>170</v>
      </c>
      <c r="AG19" s="585" t="s">
        <v>535</v>
      </c>
      <c r="AH19" s="552"/>
      <c r="AI19" s="552"/>
      <c r="AJ19" s="631" t="s">
        <v>534</v>
      </c>
      <c r="AK19" s="619">
        <f>'CBA Sector'!$E$23</f>
        <v>170</v>
      </c>
      <c r="AL19" s="619">
        <f>'CBA Sector'!$E$23</f>
        <v>170</v>
      </c>
      <c r="AM19" s="619">
        <f>'CBA Sector'!$E$23</f>
        <v>170</v>
      </c>
      <c r="AN19" s="619">
        <f>'CBA Sector'!$E$23</f>
        <v>170</v>
      </c>
      <c r="AO19" s="619">
        <f>'CBA Sector'!$E$23</f>
        <v>170</v>
      </c>
      <c r="AP19" s="619">
        <f>'CBA Sector'!$E$23</f>
        <v>170</v>
      </c>
      <c r="AQ19" s="619">
        <f>'CBA Sector'!$E$23</f>
        <v>170</v>
      </c>
      <c r="AR19" s="619">
        <f>'CBA Sector'!$E$23</f>
        <v>170</v>
      </c>
      <c r="AS19" s="619">
        <f>'CBA Sector'!$E$23</f>
        <v>170</v>
      </c>
      <c r="AT19" s="619">
        <f>'CBA Sector'!$E$23</f>
        <v>170</v>
      </c>
      <c r="AU19" s="619">
        <f>'CBA Sector'!$E$23</f>
        <v>170</v>
      </c>
      <c r="AV19" s="619">
        <f>'CBA Sector'!$E$23</f>
        <v>170</v>
      </c>
      <c r="AW19" s="619">
        <f>'CBA Sector'!$E$23</f>
        <v>170</v>
      </c>
      <c r="AX19" s="619">
        <f>'CBA Sector'!$E$23</f>
        <v>170</v>
      </c>
      <c r="AY19" s="619">
        <f>'CBA Sector'!$E$23</f>
        <v>170</v>
      </c>
      <c r="AZ19" s="619">
        <f>'CBA Sector'!$E$23</f>
        <v>170</v>
      </c>
      <c r="BA19" s="619">
        <f>'CBA Sector'!$E$23</f>
        <v>170</v>
      </c>
      <c r="BB19" s="619">
        <f>'CBA Sector'!$E$23</f>
        <v>170</v>
      </c>
      <c r="BC19" s="619">
        <f>'CBA Sector'!$E$23</f>
        <v>170</v>
      </c>
      <c r="BD19" s="619">
        <f>'CBA Sector'!$E$23</f>
        <v>170</v>
      </c>
      <c r="BE19" s="619">
        <f>'CBA Sector'!$E$23</f>
        <v>170</v>
      </c>
      <c r="BF19" s="619">
        <f>'CBA Sector'!$E$23</f>
        <v>170</v>
      </c>
      <c r="BG19" s="619">
        <f>'CBA Sector'!$E$23</f>
        <v>170</v>
      </c>
      <c r="BH19" s="619">
        <f>'CBA Sector'!$E$23</f>
        <v>170</v>
      </c>
      <c r="BI19" s="619">
        <f>'CBA Sector'!$E$23</f>
        <v>170</v>
      </c>
      <c r="BJ19" s="619">
        <f>'CBA Sector'!$E$23</f>
        <v>170</v>
      </c>
    </row>
    <row r="20" spans="1:73" x14ac:dyDescent="0.25">
      <c r="B20" s="151"/>
      <c r="C20" s="151"/>
      <c r="D20" s="151"/>
      <c r="E20" s="151"/>
      <c r="G20" s="639"/>
      <c r="H20" s="639"/>
      <c r="I20" s="639"/>
      <c r="J20" s="639"/>
      <c r="K20" s="639"/>
      <c r="L20" s="639"/>
      <c r="M20" s="639"/>
      <c r="N20" s="639"/>
      <c r="O20" s="639"/>
      <c r="P20" s="639"/>
      <c r="Q20" s="639"/>
      <c r="R20" s="639"/>
      <c r="S20" s="639"/>
      <c r="T20" s="639"/>
      <c r="U20" s="639"/>
      <c r="V20" s="639"/>
      <c r="W20" s="639"/>
      <c r="X20" s="639"/>
      <c r="Y20" s="639"/>
      <c r="AG20" s="151"/>
      <c r="AH20" s="151"/>
      <c r="AL20" s="639"/>
      <c r="AM20" s="639"/>
      <c r="AN20" s="639"/>
      <c r="AO20" s="639"/>
      <c r="AP20" s="639"/>
      <c r="AQ20" s="639"/>
      <c r="AR20" s="639"/>
      <c r="AS20" s="639"/>
      <c r="AT20" s="639"/>
      <c r="AU20" s="639"/>
      <c r="AV20" s="639"/>
      <c r="AW20" s="639"/>
      <c r="AX20" s="639"/>
      <c r="AY20" s="639"/>
      <c r="AZ20" s="639"/>
      <c r="BA20" s="639"/>
      <c r="BB20" s="639"/>
      <c r="BC20" s="639"/>
      <c r="BD20" s="639"/>
    </row>
    <row r="21" spans="1:73" x14ac:dyDescent="0.25">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L21" s="639"/>
      <c r="AM21" s="639"/>
      <c r="AN21" s="639"/>
      <c r="AO21" s="639"/>
      <c r="AP21" s="639"/>
      <c r="AQ21" s="639"/>
      <c r="AR21" s="639"/>
      <c r="AS21" s="639"/>
      <c r="AT21" s="639"/>
      <c r="AU21" s="639"/>
      <c r="AV21" s="639"/>
      <c r="AW21" s="639"/>
      <c r="AX21" s="639"/>
      <c r="AY21" s="639"/>
      <c r="AZ21" s="639"/>
      <c r="BA21" s="639"/>
      <c r="BB21" s="639"/>
      <c r="BC21" s="639"/>
      <c r="BD21" s="639"/>
      <c r="BE21" s="639"/>
    </row>
    <row r="22" spans="1:73" ht="21" x14ac:dyDescent="0.35">
      <c r="B22" s="794" t="s">
        <v>528</v>
      </c>
      <c r="C22" s="795"/>
      <c r="D22" s="796"/>
      <c r="E22" s="597"/>
      <c r="F22" s="706"/>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G22" s="794" t="s">
        <v>528</v>
      </c>
      <c r="AH22" s="795"/>
      <c r="AI22" s="796"/>
      <c r="AJ22" s="530"/>
      <c r="AK22" s="152"/>
      <c r="AL22" s="638"/>
      <c r="AM22" s="638"/>
      <c r="AN22" s="638"/>
      <c r="AO22" s="638"/>
      <c r="AP22" s="638"/>
      <c r="AQ22" s="638"/>
      <c r="AR22" s="638"/>
      <c r="AS22" s="638"/>
      <c r="AT22" s="638"/>
      <c r="AU22" s="638"/>
      <c r="AV22" s="638"/>
      <c r="AW22" s="638"/>
      <c r="AX22" s="638"/>
      <c r="AY22" s="638"/>
      <c r="AZ22" s="638"/>
      <c r="BA22" s="638"/>
      <c r="BB22" s="638"/>
      <c r="BC22" s="638"/>
      <c r="BD22" s="638"/>
      <c r="BE22" s="638"/>
    </row>
    <row r="23" spans="1:73" x14ac:dyDescent="0.25">
      <c r="B23" s="797" t="s">
        <v>425</v>
      </c>
      <c r="C23" s="798"/>
      <c r="D23" s="799"/>
      <c r="G23" s="640"/>
      <c r="H23" s="640"/>
      <c r="I23" s="640"/>
      <c r="J23" s="640"/>
      <c r="K23" s="640"/>
      <c r="L23" s="640"/>
      <c r="M23" s="640"/>
      <c r="N23" s="640"/>
      <c r="O23" s="640"/>
      <c r="P23" s="640"/>
      <c r="Q23" s="640"/>
      <c r="R23" s="640"/>
      <c r="S23" s="640"/>
      <c r="T23" s="640"/>
      <c r="U23" s="640"/>
      <c r="V23" s="640"/>
      <c r="W23" s="640"/>
      <c r="X23" s="640"/>
      <c r="Y23" s="640"/>
      <c r="Z23" s="640"/>
      <c r="AG23" s="797" t="s">
        <v>425</v>
      </c>
      <c r="AH23" s="798"/>
      <c r="AI23" s="799"/>
      <c r="AJ23" s="553"/>
      <c r="AK23" s="152"/>
      <c r="AL23" s="640"/>
      <c r="AM23" s="640"/>
      <c r="AN23" s="640"/>
      <c r="AO23" s="640"/>
      <c r="AP23" s="640"/>
      <c r="AQ23" s="640"/>
      <c r="AR23" s="640"/>
      <c r="AS23" s="640"/>
      <c r="AT23" s="640"/>
      <c r="AU23" s="640"/>
      <c r="AV23" s="640"/>
      <c r="AW23" s="640"/>
      <c r="AX23" s="640"/>
      <c r="AY23" s="640"/>
      <c r="AZ23" s="640"/>
      <c r="BA23" s="640"/>
      <c r="BB23" s="640"/>
      <c r="BC23" s="640"/>
      <c r="BD23" s="640"/>
      <c r="BE23" s="640"/>
      <c r="BT23" s="526"/>
      <c r="BU23" s="526"/>
    </row>
    <row r="24" spans="1:73" x14ac:dyDescent="0.25">
      <c r="B24" s="554" t="s">
        <v>93</v>
      </c>
      <c r="C24" s="555"/>
      <c r="D24" s="556"/>
      <c r="E24" s="557" t="s">
        <v>7</v>
      </c>
      <c r="F24" s="538">
        <f>IF('CBA Sector'!$E$15=TRUE,('Utility Sector'!$E$17*'Utility Sector'!$E$18+'Utility Sector'!$E$19*'Utility Sector'!$E$20),'CBA Sector'!$E$16)</f>
        <v>5.8000000000000003E-2</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77"/>
      <c r="AF24" s="513"/>
      <c r="AG24" s="554" t="s">
        <v>93</v>
      </c>
      <c r="AH24" s="555"/>
      <c r="AI24" s="556"/>
      <c r="AJ24" s="557" t="s">
        <v>7</v>
      </c>
      <c r="AK24" s="538">
        <f>IF('CBA Sector'!$E$15=TRUE,('Utility Sector'!$E$17*'Utility Sector'!$E$18+'Utility Sector'!$E$19*'Utility Sector'!$E$20),'CBA Sector'!$E$16)</f>
        <v>5.8000000000000003E-2</v>
      </c>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77"/>
      <c r="BT24" s="526"/>
      <c r="BU24" s="526"/>
    </row>
    <row r="25" spans="1:73" x14ac:dyDescent="0.25">
      <c r="A25" s="558"/>
      <c r="B25" s="541" t="s">
        <v>418</v>
      </c>
      <c r="C25" s="545"/>
      <c r="D25" s="559"/>
      <c r="E25" s="560"/>
      <c r="F25" s="5"/>
      <c r="G25" s="5"/>
      <c r="H25" s="5"/>
      <c r="I25" s="5"/>
      <c r="J25" s="5"/>
      <c r="K25" s="5"/>
      <c r="L25" s="5"/>
      <c r="M25" s="5"/>
      <c r="N25" s="5"/>
      <c r="O25" s="5"/>
      <c r="P25" s="5"/>
      <c r="Q25" s="5"/>
      <c r="R25" s="5"/>
      <c r="S25" s="5"/>
      <c r="T25" s="5"/>
      <c r="U25" s="5"/>
      <c r="V25" s="5"/>
      <c r="W25" s="5"/>
      <c r="X25" s="5"/>
      <c r="Y25" s="5"/>
      <c r="Z25" s="5"/>
      <c r="AA25" s="5"/>
      <c r="AB25" s="5"/>
      <c r="AC25" s="5"/>
      <c r="AD25" s="5"/>
      <c r="AE25" s="167"/>
      <c r="AF25" s="513"/>
      <c r="AG25" s="541" t="s">
        <v>418</v>
      </c>
      <c r="AH25" s="545"/>
      <c r="AI25" s="559"/>
      <c r="AJ25" s="560"/>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67"/>
      <c r="BT25" s="526"/>
      <c r="BU25" s="526"/>
    </row>
    <row r="26" spans="1:73" x14ac:dyDescent="0.25">
      <c r="A26" s="558"/>
      <c r="B26" s="541"/>
      <c r="C26" s="561" t="s">
        <v>498</v>
      </c>
      <c r="D26" s="561"/>
      <c r="E26" s="551" t="s">
        <v>500</v>
      </c>
      <c r="F26" s="377">
        <f>SUM(F27:F29)+'CBA Sector'!E44</f>
        <v>0</v>
      </c>
      <c r="G26" s="377">
        <f ca="1">SUM(G27:G29)+'CBA Sector'!F44</f>
        <v>25.330284924277944</v>
      </c>
      <c r="H26" s="377">
        <f ca="1">SUM(H27:H29)+'CBA Sector'!G44</f>
        <v>33.306394676990585</v>
      </c>
      <c r="I26" s="377">
        <f ca="1">SUM(I27:I29)+'CBA Sector'!H44</f>
        <v>41.560987302514988</v>
      </c>
      <c r="J26" s="377">
        <f ca="1">SUM(J27:J29)+'CBA Sector'!I44</f>
        <v>50.131073403967278</v>
      </c>
      <c r="K26" s="377">
        <f ca="1">SUM(K27:K29)+'CBA Sector'!J44</f>
        <v>59.055808933374422</v>
      </c>
      <c r="L26" s="377">
        <f ca="1">SUM(L27:L29)+'CBA Sector'!K44</f>
        <v>68.376675106116352</v>
      </c>
      <c r="M26" s="377">
        <f ca="1">SUM(M27:M29)+'CBA Sector'!L44</f>
        <v>78.137670542488664</v>
      </c>
      <c r="N26" s="377">
        <f ca="1">SUM(N27:N29)+'CBA Sector'!M44</f>
        <v>88.38551656329247</v>
      </c>
      <c r="O26" s="377">
        <f ca="1">SUM(O27:O29)+'CBA Sector'!N44</f>
        <v>99.169876632696912</v>
      </c>
      <c r="P26" s="377">
        <f ca="1">SUM(P27:P29)+'CBA Sector'!O44</f>
        <v>110.5435910128745</v>
      </c>
      <c r="Q26" s="377">
        <f ca="1">SUM(Q27:Q29)+'CBA Sector'!P44</f>
        <v>80.084688406572425</v>
      </c>
      <c r="R26" s="377">
        <f ca="1">SUM(R27:R29)+'CBA Sector'!Q44</f>
        <v>73.042991346068916</v>
      </c>
      <c r="S26" s="377">
        <f ca="1">SUM(S27:S29)+'CBA Sector'!R44</f>
        <v>65.655152040965845</v>
      </c>
      <c r="T26" s="377">
        <f ca="1">SUM(T27:T29)+'CBA Sector'!S44</f>
        <v>57.875361064555612</v>
      </c>
      <c r="U26" s="377">
        <f ca="1">SUM(U27:U29)+'CBA Sector'!T44</f>
        <v>49.654884360774673</v>
      </c>
      <c r="V26" s="377">
        <f ca="1">SUM(V27:V29)+'CBA Sector'!U44</f>
        <v>40.941822460460571</v>
      </c>
      <c r="W26" s="377">
        <f ca="1">SUM(W27:W29)+'CBA Sector'!V44</f>
        <v>31.680852868248074</v>
      </c>
      <c r="X26" s="377">
        <f ca="1">SUM(X27:X29)+'CBA Sector'!W44</f>
        <v>21.812954351662032</v>
      </c>
      <c r="Y26" s="377">
        <f ca="1">SUM(Y27:Y29)+'CBA Sector'!X44</f>
        <v>11.275111772242179</v>
      </c>
      <c r="Z26" s="377">
        <f ca="1">SUM(Z27:Z29)+'CBA Sector'!Y44</f>
        <v>0</v>
      </c>
      <c r="AA26" s="377">
        <f ca="1">SUM(AA27:AA29)+'CBA Sector'!Z44</f>
        <v>0</v>
      </c>
      <c r="AB26" s="377">
        <f ca="1">SUM(AB27:AB29)+'CBA Sector'!AA44</f>
        <v>0</v>
      </c>
      <c r="AC26" s="377">
        <f ca="1">SUM(AC27:AC29)+'CBA Sector'!AB44</f>
        <v>0</v>
      </c>
      <c r="AD26" s="377">
        <f ca="1">SUM(AD27:AD29)+'CBA Sector'!AC44</f>
        <v>0</v>
      </c>
      <c r="AE26" s="434">
        <f ca="1">SUM(AE27:AE29)+'CBA Sector'!AD44</f>
        <v>0</v>
      </c>
      <c r="AF26" s="513"/>
      <c r="AG26" s="541"/>
      <c r="AH26" s="561" t="s">
        <v>498</v>
      </c>
      <c r="AI26" s="561"/>
      <c r="AJ26" s="551" t="s">
        <v>500</v>
      </c>
      <c r="AK26" s="377">
        <f>SUM(AK27:AK29)+'CBA Sector'!E58</f>
        <v>0</v>
      </c>
      <c r="AL26" s="377">
        <f ca="1">SUM(AL27:AL29)+'CBA Sector'!F58</f>
        <v>34.857229142678278</v>
      </c>
      <c r="AM26" s="377">
        <f ca="1">SUM(AM27:AM29)+'CBA Sector'!G58</f>
        <v>53.132265923278183</v>
      </c>
      <c r="AN26" s="377">
        <f ca="1">SUM(AN27:AN29)+'CBA Sector'!H58</f>
        <v>73.732403397271753</v>
      </c>
      <c r="AO26" s="377">
        <f ca="1">SUM(AO27:AO29)+'CBA Sector'!I58</f>
        <v>96.979612430308322</v>
      </c>
      <c r="AP26" s="377">
        <f ca="1">SUM(AP27:AP29)+'CBA Sector'!J58</f>
        <v>123.23864553534662</v>
      </c>
      <c r="AQ26" s="377">
        <f ca="1">SUM(AQ27:AQ29)+'CBA Sector'!K58</f>
        <v>152.92280233480818</v>
      </c>
      <c r="AR26" s="377">
        <f ca="1">SUM(AR27:AR29)+'CBA Sector'!L58</f>
        <v>186.50047235029135</v>
      </c>
      <c r="AS26" s="377">
        <f ca="1">SUM(AS27:AS29)+'CBA Sector'!M58</f>
        <v>224.50256022603384</v>
      </c>
      <c r="AT26" s="377">
        <f ca="1">SUM(AT27:AT29)+'CBA Sector'!N58</f>
        <v>267.53091272026546</v>
      </c>
      <c r="AU26" s="377">
        <f ca="1">SUM(AU27:AU29)+'CBA Sector'!O58</f>
        <v>316.26788295438456</v>
      </c>
      <c r="AV26" s="377">
        <f ca="1">SUM(AV27:AV29)+'CBA Sector'!P58</f>
        <v>297.24562767147904</v>
      </c>
      <c r="AW26" s="377">
        <f ca="1">SUM(AW27:AW29)+'CBA Sector'!Q58</f>
        <v>303.83339053652821</v>
      </c>
      <c r="AX26" s="377">
        <f ca="1">SUM(AX27:AX29)+'CBA Sector'!R58</f>
        <v>310.7524937255975</v>
      </c>
      <c r="AY26" s="377">
        <f ca="1">SUM(AY27:AY29)+'CBA Sector'!S58</f>
        <v>318.00979490932212</v>
      </c>
      <c r="AZ26" s="377">
        <f ca="1">SUM(AZ27:AZ29)+'CBA Sector'!T58</f>
        <v>325.61253685152258</v>
      </c>
      <c r="BA26" s="377">
        <f ca="1">SUM(BA27:BA29)+'CBA Sector'!U58</f>
        <v>312.53890668574934</v>
      </c>
      <c r="BB26" s="377">
        <f ca="1">SUM(BB27:BB29)+'CBA Sector'!V58</f>
        <v>296.64368465841409</v>
      </c>
      <c r="BC26" s="377">
        <f ca="1">SUM(BC27:BC29)+'CBA Sector'!W58</f>
        <v>277.48609754640762</v>
      </c>
      <c r="BD26" s="377">
        <f ca="1">SUM(BD27:BD29)+'CBA Sector'!X58</f>
        <v>254.56496707374845</v>
      </c>
      <c r="BE26" s="377">
        <f ca="1">SUM(BE27:BE29)+'CBA Sector'!Y58</f>
        <v>227.31048094002813</v>
      </c>
      <c r="BF26" s="377">
        <f ca="1">SUM(BF27:BF29)+'CBA Sector'!Z58</f>
        <v>195.07484963409016</v>
      </c>
      <c r="BG26" s="377">
        <f ca="1">SUM(BG27:BG29)+'CBA Sector'!AA58</f>
        <v>157.1216980455664</v>
      </c>
      <c r="BH26" s="377">
        <f ca="1">SUM(BH27:BH29)+'CBA Sector'!AB58</f>
        <v>112.61402042038129</v>
      </c>
      <c r="BI26" s="377">
        <f ca="1">SUM(BI27:BI29)+'CBA Sector'!AC58</f>
        <v>60.600503963865755</v>
      </c>
      <c r="BJ26" s="377">
        <f ca="1">SUM(BJ27:BJ29)+'CBA Sector'!AD58</f>
        <v>0</v>
      </c>
      <c r="BT26" s="526"/>
      <c r="BU26" s="526"/>
    </row>
    <row r="27" spans="1:73" x14ac:dyDescent="0.25">
      <c r="B27" s="541"/>
      <c r="C27" s="537"/>
      <c r="D27" s="561" t="s">
        <v>518</v>
      </c>
      <c r="E27" s="551" t="s">
        <v>19</v>
      </c>
      <c r="F27" s="377">
        <f>F5/1000000</f>
        <v>0</v>
      </c>
      <c r="G27" s="377">
        <f t="shared" ref="G27:AE27" si="0">(G5)/1000000</f>
        <v>9.8428609999999992</v>
      </c>
      <c r="H27" s="377">
        <f t="shared" si="0"/>
        <v>10.118461108000002</v>
      </c>
      <c r="I27" s="377">
        <f t="shared" si="0"/>
        <v>10.401778019024002</v>
      </c>
      <c r="J27" s="377">
        <f t="shared" si="0"/>
        <v>10.693027803556673</v>
      </c>
      <c r="K27" s="377">
        <f t="shared" si="0"/>
        <v>10.99243258205626</v>
      </c>
      <c r="L27" s="377">
        <f t="shared" si="0"/>
        <v>11.300220694353836</v>
      </c>
      <c r="M27" s="377">
        <f t="shared" si="0"/>
        <v>11.616626873795743</v>
      </c>
      <c r="N27" s="377">
        <f t="shared" si="0"/>
        <v>11.941892426262024</v>
      </c>
      <c r="O27" s="377">
        <f t="shared" si="0"/>
        <v>12.276265414197361</v>
      </c>
      <c r="P27" s="377">
        <f t="shared" si="0"/>
        <v>12.620000845794888</v>
      </c>
      <c r="Q27" s="377">
        <f t="shared" si="0"/>
        <v>0</v>
      </c>
      <c r="R27" s="377">
        <f t="shared" si="0"/>
        <v>0</v>
      </c>
      <c r="S27" s="377">
        <f t="shared" si="0"/>
        <v>0</v>
      </c>
      <c r="T27" s="377">
        <f t="shared" si="0"/>
        <v>0</v>
      </c>
      <c r="U27" s="377">
        <f t="shared" si="0"/>
        <v>0</v>
      </c>
      <c r="V27" s="377">
        <f t="shared" si="0"/>
        <v>0</v>
      </c>
      <c r="W27" s="377">
        <f t="shared" si="0"/>
        <v>0</v>
      </c>
      <c r="X27" s="377">
        <f t="shared" si="0"/>
        <v>0</v>
      </c>
      <c r="Y27" s="377">
        <f t="shared" si="0"/>
        <v>0</v>
      </c>
      <c r="Z27" s="377">
        <f t="shared" si="0"/>
        <v>0</v>
      </c>
      <c r="AA27" s="377">
        <f t="shared" si="0"/>
        <v>0</v>
      </c>
      <c r="AB27" s="377">
        <f t="shared" si="0"/>
        <v>0</v>
      </c>
      <c r="AC27" s="377">
        <f t="shared" si="0"/>
        <v>0</v>
      </c>
      <c r="AD27" s="377">
        <f t="shared" si="0"/>
        <v>0</v>
      </c>
      <c r="AE27" s="434">
        <f t="shared" si="0"/>
        <v>0</v>
      </c>
      <c r="AF27" s="516"/>
      <c r="AG27" s="541"/>
      <c r="AH27" s="537"/>
      <c r="AI27" s="561" t="s">
        <v>518</v>
      </c>
      <c r="AJ27" s="551" t="s">
        <v>19</v>
      </c>
      <c r="AK27" s="377">
        <f t="shared" ref="AK27:BJ27" si="1">(AK5)/1000000</f>
        <v>0</v>
      </c>
      <c r="AL27" s="377">
        <f t="shared" si="1"/>
        <v>5.5405579999999999</v>
      </c>
      <c r="AM27" s="377">
        <f t="shared" si="1"/>
        <v>5.7400180880000002</v>
      </c>
      <c r="AN27" s="377">
        <f t="shared" si="1"/>
        <v>5.9466587391680008</v>
      </c>
      <c r="AO27" s="377">
        <f t="shared" si="1"/>
        <v>6.1607384537780492</v>
      </c>
      <c r="AP27" s="377">
        <f t="shared" si="1"/>
        <v>6.3825250381140588</v>
      </c>
      <c r="AQ27" s="377">
        <f t="shared" si="1"/>
        <v>6.6122959394861658</v>
      </c>
      <c r="AR27" s="377">
        <f t="shared" si="1"/>
        <v>6.8503385933076677</v>
      </c>
      <c r="AS27" s="377">
        <f t="shared" si="1"/>
        <v>7.0969507826667435</v>
      </c>
      <c r="AT27" s="377">
        <f t="shared" si="1"/>
        <v>7.3524410108427469</v>
      </c>
      <c r="AU27" s="377">
        <f t="shared" si="1"/>
        <v>7.6171288872330862</v>
      </c>
      <c r="AV27" s="377">
        <f t="shared" si="1"/>
        <v>0</v>
      </c>
      <c r="AW27" s="377">
        <f t="shared" si="1"/>
        <v>0</v>
      </c>
      <c r="AX27" s="377">
        <f t="shared" si="1"/>
        <v>0</v>
      </c>
      <c r="AY27" s="377">
        <f t="shared" si="1"/>
        <v>0</v>
      </c>
      <c r="AZ27" s="377">
        <f t="shared" si="1"/>
        <v>0</v>
      </c>
      <c r="BA27" s="377">
        <f t="shared" si="1"/>
        <v>0</v>
      </c>
      <c r="BB27" s="377">
        <f t="shared" si="1"/>
        <v>0</v>
      </c>
      <c r="BC27" s="377">
        <f t="shared" si="1"/>
        <v>0</v>
      </c>
      <c r="BD27" s="377">
        <f t="shared" si="1"/>
        <v>0</v>
      </c>
      <c r="BE27" s="377">
        <f t="shared" si="1"/>
        <v>0</v>
      </c>
      <c r="BF27" s="377">
        <f t="shared" si="1"/>
        <v>0</v>
      </c>
      <c r="BG27" s="377">
        <f t="shared" si="1"/>
        <v>0</v>
      </c>
      <c r="BH27" s="377">
        <f t="shared" si="1"/>
        <v>0</v>
      </c>
      <c r="BI27" s="377">
        <f t="shared" si="1"/>
        <v>0</v>
      </c>
      <c r="BJ27" s="434">
        <f t="shared" si="1"/>
        <v>0</v>
      </c>
      <c r="BT27" s="526"/>
      <c r="BU27" s="526"/>
    </row>
    <row r="28" spans="1:73" x14ac:dyDescent="0.25">
      <c r="B28" s="541"/>
      <c r="C28" s="537"/>
      <c r="D28" s="561" t="s">
        <v>519</v>
      </c>
      <c r="E28" s="551" t="s">
        <v>19</v>
      </c>
      <c r="F28" s="377">
        <f>F6/1000000</f>
        <v>0</v>
      </c>
      <c r="G28" s="377">
        <f t="shared" ref="G28:AE28" si="2">G6/1000000</f>
        <v>8.2876110000000001</v>
      </c>
      <c r="H28" s="377">
        <f t="shared" si="2"/>
        <v>8.5611021629999993</v>
      </c>
      <c r="I28" s="377">
        <f t="shared" si="2"/>
        <v>8.8436185343789973</v>
      </c>
      <c r="J28" s="377">
        <f t="shared" si="2"/>
        <v>9.1354579460135046</v>
      </c>
      <c r="K28" s="377">
        <f t="shared" si="2"/>
        <v>9.436928058231949</v>
      </c>
      <c r="L28" s="377">
        <f t="shared" si="2"/>
        <v>9.7483466841536028</v>
      </c>
      <c r="M28" s="377">
        <f t="shared" si="2"/>
        <v>10.070042124730671</v>
      </c>
      <c r="N28" s="377">
        <f t="shared" si="2"/>
        <v>10.402353514846782</v>
      </c>
      <c r="O28" s="377">
        <f t="shared" si="2"/>
        <v>10.745631180836725</v>
      </c>
      <c r="P28" s="377">
        <f t="shared" si="2"/>
        <v>11.100237009804335</v>
      </c>
      <c r="Q28" s="377">
        <f t="shared" si="2"/>
        <v>0</v>
      </c>
      <c r="R28" s="377">
        <f t="shared" si="2"/>
        <v>0</v>
      </c>
      <c r="S28" s="377">
        <f t="shared" si="2"/>
        <v>0</v>
      </c>
      <c r="T28" s="377">
        <f t="shared" si="2"/>
        <v>0</v>
      </c>
      <c r="U28" s="377">
        <f t="shared" si="2"/>
        <v>0</v>
      </c>
      <c r="V28" s="377">
        <f t="shared" si="2"/>
        <v>0</v>
      </c>
      <c r="W28" s="377">
        <f t="shared" si="2"/>
        <v>0</v>
      </c>
      <c r="X28" s="377">
        <f t="shared" si="2"/>
        <v>0</v>
      </c>
      <c r="Y28" s="377">
        <f t="shared" si="2"/>
        <v>0</v>
      </c>
      <c r="Z28" s="377">
        <f t="shared" si="2"/>
        <v>0</v>
      </c>
      <c r="AA28" s="377">
        <f t="shared" si="2"/>
        <v>0</v>
      </c>
      <c r="AB28" s="377">
        <f t="shared" si="2"/>
        <v>0</v>
      </c>
      <c r="AC28" s="377">
        <f t="shared" si="2"/>
        <v>0</v>
      </c>
      <c r="AD28" s="377">
        <f t="shared" si="2"/>
        <v>0</v>
      </c>
      <c r="AE28" s="434">
        <f t="shared" si="2"/>
        <v>0</v>
      </c>
      <c r="AF28" s="516"/>
      <c r="AG28" s="541"/>
      <c r="AH28" s="537"/>
      <c r="AI28" s="561" t="s">
        <v>519</v>
      </c>
      <c r="AJ28" s="551" t="s">
        <v>19</v>
      </c>
      <c r="AK28" s="377">
        <f t="shared" ref="AK28:BJ28" si="3">AK6/1000000</f>
        <v>0</v>
      </c>
      <c r="AL28" s="377">
        <f t="shared" si="3"/>
        <v>13.659969</v>
      </c>
      <c r="AM28" s="377">
        <f t="shared" si="3"/>
        <v>14.056108100999998</v>
      </c>
      <c r="AN28" s="377">
        <f t="shared" si="3"/>
        <v>14.463735235928997</v>
      </c>
      <c r="AO28" s="377">
        <f t="shared" si="3"/>
        <v>14.883183557770938</v>
      </c>
      <c r="AP28" s="377">
        <f t="shared" si="3"/>
        <v>15.314795880946294</v>
      </c>
      <c r="AQ28" s="377">
        <f t="shared" si="3"/>
        <v>15.758924961493735</v>
      </c>
      <c r="AR28" s="377">
        <f t="shared" si="3"/>
        <v>16.21593378537705</v>
      </c>
      <c r="AS28" s="377">
        <f t="shared" si="3"/>
        <v>16.686195865152985</v>
      </c>
      <c r="AT28" s="377">
        <f t="shared" si="3"/>
        <v>17.170095545242422</v>
      </c>
      <c r="AU28" s="377">
        <f t="shared" si="3"/>
        <v>17.66802831605445</v>
      </c>
      <c r="AV28" s="377">
        <f t="shared" si="3"/>
        <v>0</v>
      </c>
      <c r="AW28" s="377">
        <f t="shared" si="3"/>
        <v>0</v>
      </c>
      <c r="AX28" s="377">
        <f t="shared" si="3"/>
        <v>0</v>
      </c>
      <c r="AY28" s="377">
        <f t="shared" si="3"/>
        <v>0</v>
      </c>
      <c r="AZ28" s="377">
        <f t="shared" si="3"/>
        <v>0</v>
      </c>
      <c r="BA28" s="377">
        <f t="shared" si="3"/>
        <v>0</v>
      </c>
      <c r="BB28" s="377">
        <f t="shared" si="3"/>
        <v>0</v>
      </c>
      <c r="BC28" s="377">
        <f t="shared" si="3"/>
        <v>0</v>
      </c>
      <c r="BD28" s="377">
        <f t="shared" si="3"/>
        <v>0</v>
      </c>
      <c r="BE28" s="377">
        <f t="shared" si="3"/>
        <v>0</v>
      </c>
      <c r="BF28" s="377">
        <f t="shared" si="3"/>
        <v>0</v>
      </c>
      <c r="BG28" s="377">
        <f t="shared" si="3"/>
        <v>0</v>
      </c>
      <c r="BH28" s="377">
        <f t="shared" si="3"/>
        <v>0</v>
      </c>
      <c r="BI28" s="377">
        <f t="shared" si="3"/>
        <v>0</v>
      </c>
      <c r="BJ28" s="434">
        <f t="shared" si="3"/>
        <v>0</v>
      </c>
      <c r="BT28" s="526"/>
      <c r="BU28" s="526"/>
    </row>
    <row r="29" spans="1:73" x14ac:dyDescent="0.25">
      <c r="B29" s="541"/>
      <c r="C29" s="537"/>
      <c r="D29" s="561" t="s">
        <v>521</v>
      </c>
      <c r="E29" s="551" t="s">
        <v>19</v>
      </c>
      <c r="F29" s="377">
        <f>F7/1000000</f>
        <v>0</v>
      </c>
      <c r="G29" s="377">
        <f t="shared" ref="G29:AE29" ca="1" si="4">G7/1000000</f>
        <v>7.1998129242779463</v>
      </c>
      <c r="H29" s="377">
        <f t="shared" ca="1" si="4"/>
        <v>14.626831405990586</v>
      </c>
      <c r="I29" s="377">
        <f t="shared" ca="1" si="4"/>
        <v>22.315590749111994</v>
      </c>
      <c r="J29" s="377">
        <f t="shared" ca="1" si="4"/>
        <v>30.302587654397097</v>
      </c>
      <c r="K29" s="377">
        <f t="shared" ca="1" si="4"/>
        <v>38.626448293086213</v>
      </c>
      <c r="L29" s="377">
        <f t="shared" ca="1" si="4"/>
        <v>47.328107727608909</v>
      </c>
      <c r="M29" s="377">
        <f t="shared" ca="1" si="4"/>
        <v>56.451001543962249</v>
      </c>
      <c r="N29" s="377">
        <f t="shared" ca="1" si="4"/>
        <v>66.04127062218366</v>
      </c>
      <c r="O29" s="377">
        <f t="shared" ca="1" si="4"/>
        <v>76.147980037662833</v>
      </c>
      <c r="P29" s="377">
        <f t="shared" ca="1" si="4"/>
        <v>86.823353157275278</v>
      </c>
      <c r="Q29" s="377">
        <f t="shared" ca="1" si="4"/>
        <v>80.084688406572425</v>
      </c>
      <c r="R29" s="377">
        <f t="shared" ca="1" si="4"/>
        <v>73.042991346068916</v>
      </c>
      <c r="S29" s="377">
        <f t="shared" ca="1" si="4"/>
        <v>65.655152040965845</v>
      </c>
      <c r="T29" s="377">
        <f t="shared" ca="1" si="4"/>
        <v>57.875361064555612</v>
      </c>
      <c r="U29" s="377">
        <f t="shared" ca="1" si="4"/>
        <v>49.654884360774673</v>
      </c>
      <c r="V29" s="377">
        <f t="shared" ca="1" si="4"/>
        <v>40.941822460460571</v>
      </c>
      <c r="W29" s="377">
        <f t="shared" ca="1" si="4"/>
        <v>31.680852868248074</v>
      </c>
      <c r="X29" s="377">
        <f t="shared" ca="1" si="4"/>
        <v>21.812954351662032</v>
      </c>
      <c r="Y29" s="377">
        <f t="shared" ca="1" si="4"/>
        <v>11.275111772242179</v>
      </c>
      <c r="Z29" s="377">
        <f t="shared" ca="1" si="4"/>
        <v>0</v>
      </c>
      <c r="AA29" s="377">
        <f t="shared" ca="1" si="4"/>
        <v>0</v>
      </c>
      <c r="AB29" s="377">
        <f t="shared" ca="1" si="4"/>
        <v>0</v>
      </c>
      <c r="AC29" s="377">
        <f t="shared" ca="1" si="4"/>
        <v>0</v>
      </c>
      <c r="AD29" s="377">
        <f t="shared" ca="1" si="4"/>
        <v>0</v>
      </c>
      <c r="AE29" s="434">
        <f t="shared" ca="1" si="4"/>
        <v>0</v>
      </c>
      <c r="AF29" s="516"/>
      <c r="AG29" s="541"/>
      <c r="AH29" s="537"/>
      <c r="AI29" s="561" t="s">
        <v>521</v>
      </c>
      <c r="AJ29" s="551" t="s">
        <v>19</v>
      </c>
      <c r="AK29" s="377">
        <f t="shared" ref="AK29:BJ29" si="5">AK7/1000000</f>
        <v>0</v>
      </c>
      <c r="AL29" s="377">
        <f t="shared" ca="1" si="5"/>
        <v>15.656702142678279</v>
      </c>
      <c r="AM29" s="377">
        <f t="shared" ca="1" si="5"/>
        <v>33.336139734278184</v>
      </c>
      <c r="AN29" s="377">
        <f t="shared" ca="1" si="5"/>
        <v>53.322009422174752</v>
      </c>
      <c r="AO29" s="377">
        <f t="shared" ca="1" si="5"/>
        <v>75.935690418759336</v>
      </c>
      <c r="AP29" s="377">
        <f t="shared" ca="1" si="5"/>
        <v>101.54132461628626</v>
      </c>
      <c r="AQ29" s="377">
        <f t="shared" ca="1" si="5"/>
        <v>130.55158143382829</v>
      </c>
      <c r="AR29" s="377">
        <f t="shared" ca="1" si="5"/>
        <v>163.43419997160663</v>
      </c>
      <c r="AS29" s="377">
        <f t="shared" ca="1" si="5"/>
        <v>200.7194135782141</v>
      </c>
      <c r="AT29" s="377">
        <f t="shared" ca="1" si="5"/>
        <v>243.00837616418028</v>
      </c>
      <c r="AU29" s="377">
        <f t="shared" ca="1" si="5"/>
        <v>290.98272575109701</v>
      </c>
      <c r="AV29" s="377">
        <f t="shared" ca="1" si="5"/>
        <v>297.24562767147904</v>
      </c>
      <c r="AW29" s="377">
        <f t="shared" ca="1" si="5"/>
        <v>303.83339053652821</v>
      </c>
      <c r="AX29" s="377">
        <f t="shared" ca="1" si="5"/>
        <v>310.7524937255975</v>
      </c>
      <c r="AY29" s="377">
        <f t="shared" ca="1" si="5"/>
        <v>318.00979490932212</v>
      </c>
      <c r="AZ29" s="377">
        <f t="shared" ca="1" si="5"/>
        <v>325.61253685152258</v>
      </c>
      <c r="BA29" s="377">
        <f t="shared" ca="1" si="5"/>
        <v>312.53890668574934</v>
      </c>
      <c r="BB29" s="377">
        <f t="shared" ca="1" si="5"/>
        <v>296.64368465841409</v>
      </c>
      <c r="BC29" s="377">
        <f t="shared" ca="1" si="5"/>
        <v>277.48609754640762</v>
      </c>
      <c r="BD29" s="377">
        <f t="shared" ca="1" si="5"/>
        <v>254.56496707374845</v>
      </c>
      <c r="BE29" s="377">
        <f t="shared" ca="1" si="5"/>
        <v>227.31048094002813</v>
      </c>
      <c r="BF29" s="377">
        <f t="shared" ca="1" si="5"/>
        <v>195.07484963409016</v>
      </c>
      <c r="BG29" s="377">
        <f t="shared" ca="1" si="5"/>
        <v>157.1216980455664</v>
      </c>
      <c r="BH29" s="377">
        <f t="shared" ca="1" si="5"/>
        <v>112.61402042038129</v>
      </c>
      <c r="BI29" s="377">
        <f t="shared" ca="1" si="5"/>
        <v>60.600503963865755</v>
      </c>
      <c r="BJ29" s="434">
        <f t="shared" ca="1" si="5"/>
        <v>0</v>
      </c>
      <c r="BT29" s="526"/>
      <c r="BU29" s="526"/>
    </row>
    <row r="30" spans="1:73" x14ac:dyDescent="0.25">
      <c r="B30" s="541"/>
      <c r="C30" s="559" t="s">
        <v>499</v>
      </c>
      <c r="D30" s="559"/>
      <c r="E30" s="560" t="s">
        <v>19</v>
      </c>
      <c r="F30" s="328">
        <f ca="1">SUM(F26:AE26)</f>
        <v>1086.0216977701443</v>
      </c>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598"/>
      <c r="AF30" s="516"/>
      <c r="AG30" s="541"/>
      <c r="AH30" s="559" t="s">
        <v>499</v>
      </c>
      <c r="AI30" s="559"/>
      <c r="AJ30" s="560" t="s">
        <v>19</v>
      </c>
      <c r="AK30" s="328">
        <f ca="1">SUM(AK26:BJ26)</f>
        <v>4979.0738396773668</v>
      </c>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598"/>
      <c r="BT30" s="526"/>
      <c r="BU30" s="526"/>
    </row>
    <row r="31" spans="1:73" x14ac:dyDescent="0.25">
      <c r="B31" s="539" t="s">
        <v>416</v>
      </c>
      <c r="C31" s="537"/>
      <c r="D31" s="561"/>
      <c r="E31" s="551"/>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434"/>
      <c r="AF31" s="516"/>
      <c r="AG31" s="539" t="s">
        <v>416</v>
      </c>
      <c r="AH31" s="537"/>
      <c r="AI31" s="561"/>
      <c r="AJ31" s="551"/>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7"/>
      <c r="BJ31" s="434"/>
      <c r="BT31" s="526"/>
      <c r="BU31" s="526"/>
    </row>
    <row r="32" spans="1:73" x14ac:dyDescent="0.25">
      <c r="B32" s="539"/>
      <c r="C32" s="575" t="s">
        <v>497</v>
      </c>
      <c r="D32" s="575"/>
      <c r="E32" s="578" t="s">
        <v>19</v>
      </c>
      <c r="F32" s="328">
        <f>F33+'CBA Sector'!E45</f>
        <v>0</v>
      </c>
      <c r="G32" s="328">
        <f>G33+'CBA Sector'!F45</f>
        <v>4.12950988464</v>
      </c>
      <c r="H32" s="328">
        <f ca="1">H33+'CBA Sector'!G45</f>
        <v>8.4772548409796595</v>
      </c>
      <c r="I32" s="328">
        <f ca="1">I33+'CBA Sector'!H45</f>
        <v>13.066660072685256</v>
      </c>
      <c r="J32" s="328">
        <f ca="1">J33+'CBA Sector'!I45</f>
        <v>17.922861293836444</v>
      </c>
      <c r="K32" s="328">
        <f ca="1">K33+'CBA Sector'!J45</f>
        <v>23.072839291510999</v>
      </c>
      <c r="L32" s="328">
        <f ca="1">L33+'CBA Sector'!K45</f>
        <v>28.545564522778914</v>
      </c>
      <c r="M32" s="328">
        <f ca="1">M33+'CBA Sector'!L45</f>
        <v>34.372152501427664</v>
      </c>
      <c r="N32" s="328">
        <f ca="1">N33+'CBA Sector'!M45</f>
        <v>40.58603078610723</v>
      </c>
      <c r="O32" s="328">
        <f ca="1">O33+'CBA Sector'!N45</f>
        <v>47.223118442162416</v>
      </c>
      <c r="P32" s="328">
        <f ca="1">P33+'CBA Sector'!O45</f>
        <v>54.322018914523305</v>
      </c>
      <c r="Q32" s="328">
        <f ca="1">Q33+'CBA Sector'!P45</f>
        <v>50.547128782292631</v>
      </c>
      <c r="R32" s="328">
        <f ca="1">R33+'CBA Sector'!Q45</f>
        <v>46.498055878440084</v>
      </c>
      <c r="S32" s="328">
        <f ca="1">S33+'CBA Sector'!R45</f>
        <v>42.144038005059244</v>
      </c>
      <c r="T32" s="328">
        <f ca="1">T33+'CBA Sector'!S45</f>
        <v>37.451962788065913</v>
      </c>
      <c r="U32" s="328">
        <f ca="1">U33+'CBA Sector'!T45</f>
        <v>32.386181847169269</v>
      </c>
      <c r="V32" s="328">
        <f ca="1">V33+'CBA Sector'!U45</f>
        <v>26.908310999005032</v>
      </c>
      <c r="W32" s="328">
        <f ca="1">W33+'CBA Sector'!V45</f>
        <v>20.977015440760638</v>
      </c>
      <c r="X32" s="328">
        <f ca="1">X33+'CBA Sector'!W45</f>
        <v>14.547778782950255</v>
      </c>
      <c r="Y32" s="328">
        <f ca="1">Y33+'CBA Sector'!X45</f>
        <v>7.5726547154457142</v>
      </c>
      <c r="Z32" s="328">
        <f>Z33+'CBA Sector'!Y45</f>
        <v>0</v>
      </c>
      <c r="AA32" s="328">
        <f>AA33+'CBA Sector'!Z45</f>
        <v>0</v>
      </c>
      <c r="AB32" s="328">
        <f>AB33+'CBA Sector'!AA45</f>
        <v>0</v>
      </c>
      <c r="AC32" s="328">
        <f>AC33+'CBA Sector'!AB45</f>
        <v>0</v>
      </c>
      <c r="AD32" s="328">
        <f>AD33+'CBA Sector'!AC45</f>
        <v>0</v>
      </c>
      <c r="AE32" s="598">
        <f>AE33+'CBA Sector'!AD45</f>
        <v>0</v>
      </c>
      <c r="AF32" s="516"/>
      <c r="AG32" s="539"/>
      <c r="AH32" s="575" t="s">
        <v>497</v>
      </c>
      <c r="AI32" s="575"/>
      <c r="AJ32" s="578" t="s">
        <v>19</v>
      </c>
      <c r="AK32" s="328">
        <f>AK33+'CBA Sector'!E59</f>
        <v>0</v>
      </c>
      <c r="AL32" s="328">
        <f>AL33+'CBA Sector'!F59</f>
        <v>19.47715506398</v>
      </c>
      <c r="AM32" s="328">
        <f>AM33+'CBA Sector'!G59</f>
        <v>40.517513808151037</v>
      </c>
      <c r="AN32" s="328">
        <f>AN33+'CBA Sector'!H59</f>
        <v>63.372551477755728</v>
      </c>
      <c r="AO32" s="328">
        <f>AO33+'CBA Sector'!I59</f>
        <v>88.327454457909568</v>
      </c>
      <c r="AP32" s="328">
        <f>AP33+'CBA Sector'!J59</f>
        <v>115.70575619277597</v>
      </c>
      <c r="AQ32" s="328">
        <f>AQ33+'CBA Sector'!K59</f>
        <v>145.87460490664938</v>
      </c>
      <c r="AR32" s="328">
        <f>AR33+'CBA Sector'!L59</f>
        <v>179.25074931422813</v>
      </c>
      <c r="AS32" s="328">
        <f>AS33+'CBA Sector'!M59</f>
        <v>216.30734025929357</v>
      </c>
      <c r="AT32" s="328">
        <f>AT33+'CBA Sector'!N59</f>
        <v>257.58165957541803</v>
      </c>
      <c r="AU32" s="328">
        <f>AU33+'CBA Sector'!O59</f>
        <v>303.68390263770937</v>
      </c>
      <c r="AV32" s="328">
        <f>AV33+'CBA Sector'!P59</f>
        <v>308.45279677356876</v>
      </c>
      <c r="AW32" s="328">
        <f>AW33+'CBA Sector'!Q59</f>
        <v>313.54540464547227</v>
      </c>
      <c r="AX32" s="328">
        <f>AX33+'CBA Sector'!R59</f>
        <v>318.96801757643192</v>
      </c>
      <c r="AY32" s="328">
        <f>AY33+'CBA Sector'!S59</f>
        <v>324.72727781766787</v>
      </c>
      <c r="AZ32" s="328">
        <f>AZ33+'CBA Sector'!T59</f>
        <v>330.83018647882807</v>
      </c>
      <c r="BA32" s="328">
        <f>BA33+'CBA Sector'!U59</f>
        <v>314.62481731497496</v>
      </c>
      <c r="BB32" s="328">
        <f>BB33+'CBA Sector'!V59</f>
        <v>296.04463886270531</v>
      </c>
      <c r="BC32" s="328">
        <f>BC33+'CBA Sector'!W59</f>
        <v>274.68871639379495</v>
      </c>
      <c r="BD32" s="328">
        <f>BD33+'CBA Sector'!X59</f>
        <v>250.10070474456163</v>
      </c>
      <c r="BE32" s="328">
        <f>BE33+'CBA Sector'!Y59</f>
        <v>221.76121026214815</v>
      </c>
      <c r="BF32" s="328">
        <f>BF33+'CBA Sector'!Z59</f>
        <v>189.07911009548951</v>
      </c>
      <c r="BG32" s="328">
        <f>BG33+'CBA Sector'!AA59</f>
        <v>151.38168657186333</v>
      </c>
      <c r="BH32" s="328">
        <f>BH33+'CBA Sector'!AB59</f>
        <v>107.90341500059462</v>
      </c>
      <c r="BI32" s="328">
        <f>BI33+'CBA Sector'!AC59</f>
        <v>57.773221200869266</v>
      </c>
      <c r="BJ32" s="328">
        <f>BJ33+'CBA Sector'!AD59</f>
        <v>0</v>
      </c>
      <c r="BT32" s="526"/>
      <c r="BU32" s="526"/>
    </row>
    <row r="33" spans="1:73" x14ac:dyDescent="0.25">
      <c r="B33" s="564"/>
      <c r="C33" s="577"/>
      <c r="D33" s="559" t="s">
        <v>520</v>
      </c>
      <c r="E33" s="578" t="s">
        <v>19</v>
      </c>
      <c r="F33" s="328">
        <f t="shared" ref="F33:AE33" si="6">(F8/1000000)</f>
        <v>0</v>
      </c>
      <c r="G33" s="328">
        <f t="shared" si="6"/>
        <v>4.12950988464</v>
      </c>
      <c r="H33" s="328">
        <f t="shared" ca="1" si="6"/>
        <v>8.4772548409796595</v>
      </c>
      <c r="I33" s="328">
        <f t="shared" ca="1" si="6"/>
        <v>13.066660072685256</v>
      </c>
      <c r="J33" s="328">
        <f t="shared" ca="1" si="6"/>
        <v>17.922861293836444</v>
      </c>
      <c r="K33" s="328">
        <f t="shared" ca="1" si="6"/>
        <v>23.072839291510999</v>
      </c>
      <c r="L33" s="328">
        <f t="shared" ca="1" si="6"/>
        <v>28.545564522778914</v>
      </c>
      <c r="M33" s="328">
        <f t="shared" ca="1" si="6"/>
        <v>34.372152501427664</v>
      </c>
      <c r="N33" s="328">
        <f t="shared" ca="1" si="6"/>
        <v>40.58603078610723</v>
      </c>
      <c r="O33" s="328">
        <f t="shared" ca="1" si="6"/>
        <v>47.223118442162416</v>
      </c>
      <c r="P33" s="328">
        <f t="shared" ca="1" si="6"/>
        <v>54.322018914523305</v>
      </c>
      <c r="Q33" s="328">
        <f t="shared" ca="1" si="6"/>
        <v>50.547128782292631</v>
      </c>
      <c r="R33" s="328">
        <f t="shared" ca="1" si="6"/>
        <v>46.498055878440084</v>
      </c>
      <c r="S33" s="328">
        <f t="shared" ca="1" si="6"/>
        <v>42.144038005059244</v>
      </c>
      <c r="T33" s="328">
        <f t="shared" ca="1" si="6"/>
        <v>37.451962788065913</v>
      </c>
      <c r="U33" s="328">
        <f t="shared" ca="1" si="6"/>
        <v>32.386181847169269</v>
      </c>
      <c r="V33" s="328">
        <f t="shared" ca="1" si="6"/>
        <v>26.908310999005032</v>
      </c>
      <c r="W33" s="328">
        <f t="shared" ca="1" si="6"/>
        <v>20.977015440760638</v>
      </c>
      <c r="X33" s="328">
        <f t="shared" ca="1" si="6"/>
        <v>14.547778782950255</v>
      </c>
      <c r="Y33" s="328">
        <f t="shared" ca="1" si="6"/>
        <v>7.5726547154457142</v>
      </c>
      <c r="Z33" s="328">
        <f t="shared" si="6"/>
        <v>0</v>
      </c>
      <c r="AA33" s="328">
        <f t="shared" si="6"/>
        <v>0</v>
      </c>
      <c r="AB33" s="328">
        <f t="shared" si="6"/>
        <v>0</v>
      </c>
      <c r="AC33" s="328">
        <f t="shared" si="6"/>
        <v>0</v>
      </c>
      <c r="AD33" s="328">
        <f t="shared" si="6"/>
        <v>0</v>
      </c>
      <c r="AE33" s="598">
        <f t="shared" si="6"/>
        <v>0</v>
      </c>
      <c r="AF33" s="516"/>
      <c r="AG33" s="564"/>
      <c r="AH33" s="577"/>
      <c r="AI33" s="559" t="s">
        <v>520</v>
      </c>
      <c r="AJ33" s="578" t="s">
        <v>19</v>
      </c>
      <c r="AK33" s="328">
        <f t="shared" ref="AK33:BJ33" si="7">(AK8/1000000)</f>
        <v>0</v>
      </c>
      <c r="AL33" s="328">
        <f t="shared" si="7"/>
        <v>19.47715506398</v>
      </c>
      <c r="AM33" s="328">
        <f t="shared" si="7"/>
        <v>40.517513808151037</v>
      </c>
      <c r="AN33" s="328">
        <f t="shared" si="7"/>
        <v>63.372551477755728</v>
      </c>
      <c r="AO33" s="328">
        <f t="shared" si="7"/>
        <v>88.327454457909568</v>
      </c>
      <c r="AP33" s="328">
        <f t="shared" si="7"/>
        <v>115.70575619277597</v>
      </c>
      <c r="AQ33" s="328">
        <f t="shared" si="7"/>
        <v>145.87460490664938</v>
      </c>
      <c r="AR33" s="328">
        <f t="shared" si="7"/>
        <v>179.25074931422813</v>
      </c>
      <c r="AS33" s="328">
        <f t="shared" si="7"/>
        <v>216.30734025929357</v>
      </c>
      <c r="AT33" s="328">
        <f t="shared" si="7"/>
        <v>257.58165957541803</v>
      </c>
      <c r="AU33" s="328">
        <f t="shared" si="7"/>
        <v>303.68390263770937</v>
      </c>
      <c r="AV33" s="328">
        <f t="shared" si="7"/>
        <v>308.45279677356876</v>
      </c>
      <c r="AW33" s="328">
        <f t="shared" si="7"/>
        <v>313.54540464547227</v>
      </c>
      <c r="AX33" s="328">
        <f t="shared" si="7"/>
        <v>318.96801757643192</v>
      </c>
      <c r="AY33" s="328">
        <f t="shared" si="7"/>
        <v>324.72727781766787</v>
      </c>
      <c r="AZ33" s="328">
        <f t="shared" si="7"/>
        <v>330.83018647882807</v>
      </c>
      <c r="BA33" s="328">
        <f t="shared" si="7"/>
        <v>314.62481731497496</v>
      </c>
      <c r="BB33" s="328">
        <f t="shared" si="7"/>
        <v>296.04463886270531</v>
      </c>
      <c r="BC33" s="328">
        <f t="shared" si="7"/>
        <v>274.68871639379495</v>
      </c>
      <c r="BD33" s="328">
        <f t="shared" si="7"/>
        <v>250.10070474456163</v>
      </c>
      <c r="BE33" s="328">
        <f t="shared" si="7"/>
        <v>221.76121026214815</v>
      </c>
      <c r="BF33" s="328">
        <f t="shared" si="7"/>
        <v>189.07911009548951</v>
      </c>
      <c r="BG33" s="328">
        <f t="shared" si="7"/>
        <v>151.38168657186333</v>
      </c>
      <c r="BH33" s="328">
        <f t="shared" si="7"/>
        <v>107.90341500059462</v>
      </c>
      <c r="BI33" s="328">
        <f t="shared" si="7"/>
        <v>57.773221200869266</v>
      </c>
      <c r="BJ33" s="598">
        <f t="shared" si="7"/>
        <v>0</v>
      </c>
      <c r="BT33" s="526"/>
      <c r="BU33" s="526"/>
    </row>
    <row r="34" spans="1:73" x14ac:dyDescent="0.25">
      <c r="B34" s="564"/>
      <c r="C34" s="561" t="s">
        <v>495</v>
      </c>
      <c r="D34" s="561"/>
      <c r="E34" s="551" t="s">
        <v>19</v>
      </c>
      <c r="F34" s="377">
        <f ca="1">SUM(F32:AE32)</f>
        <v>550.75113778984064</v>
      </c>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434"/>
      <c r="AF34" s="520"/>
      <c r="AG34" s="564"/>
      <c r="AH34" s="561" t="s">
        <v>495</v>
      </c>
      <c r="AI34" s="561"/>
      <c r="AJ34" s="551" t="s">
        <v>19</v>
      </c>
      <c r="AK34" s="377">
        <f>SUM(AK32:BJ32)</f>
        <v>4889.9798914328412</v>
      </c>
      <c r="AL34" s="377"/>
      <c r="AM34" s="377"/>
      <c r="AN34" s="377"/>
      <c r="AO34" s="377"/>
      <c r="AP34" s="377"/>
      <c r="AQ34" s="377"/>
      <c r="AR34" s="377"/>
      <c r="AS34" s="377"/>
      <c r="AT34" s="377"/>
      <c r="AU34" s="377"/>
      <c r="AV34" s="377"/>
      <c r="AW34" s="377"/>
      <c r="AX34" s="377"/>
      <c r="AY34" s="377"/>
      <c r="AZ34" s="377"/>
      <c r="BA34" s="377"/>
      <c r="BB34" s="377"/>
      <c r="BC34" s="377"/>
      <c r="BD34" s="377"/>
      <c r="BE34" s="377"/>
      <c r="BF34" s="377"/>
      <c r="BG34" s="377"/>
      <c r="BH34" s="377"/>
      <c r="BI34" s="377"/>
      <c r="BJ34" s="434"/>
      <c r="BT34" s="526"/>
      <c r="BU34" s="526"/>
    </row>
    <row r="35" spans="1:73" x14ac:dyDescent="0.25">
      <c r="B35" s="541" t="s">
        <v>414</v>
      </c>
      <c r="C35" s="545"/>
      <c r="D35" s="559"/>
      <c r="E35" s="560"/>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598"/>
      <c r="AF35" s="516"/>
      <c r="AG35" s="541" t="s">
        <v>414</v>
      </c>
      <c r="AH35" s="545"/>
      <c r="AI35" s="559"/>
      <c r="AJ35" s="560"/>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598"/>
    </row>
    <row r="36" spans="1:73" x14ac:dyDescent="0.25">
      <c r="B36" s="541"/>
      <c r="C36" s="559" t="s">
        <v>496</v>
      </c>
      <c r="D36" s="559"/>
      <c r="E36" s="560" t="s">
        <v>19</v>
      </c>
      <c r="F36" s="328">
        <f t="shared" ref="F36:AE36" si="8">F32-F26</f>
        <v>0</v>
      </c>
      <c r="G36" s="328">
        <f t="shared" ca="1" si="8"/>
        <v>-21.200775039637943</v>
      </c>
      <c r="H36" s="328">
        <f t="shared" ca="1" si="8"/>
        <v>-24.829139836010924</v>
      </c>
      <c r="I36" s="328">
        <f t="shared" ca="1" si="8"/>
        <v>-28.494327229829732</v>
      </c>
      <c r="J36" s="328">
        <f t="shared" ca="1" si="8"/>
        <v>-32.20821211013083</v>
      </c>
      <c r="K36" s="328">
        <f t="shared" ca="1" si="8"/>
        <v>-35.98296964186342</v>
      </c>
      <c r="L36" s="328">
        <f t="shared" ca="1" si="8"/>
        <v>-39.831110583337434</v>
      </c>
      <c r="M36" s="328">
        <f t="shared" ca="1" si="8"/>
        <v>-43.765518041061</v>
      </c>
      <c r="N36" s="328">
        <f t="shared" ca="1" si="8"/>
        <v>-47.799485777185239</v>
      </c>
      <c r="O36" s="328">
        <f t="shared" ca="1" si="8"/>
        <v>-51.946758190534496</v>
      </c>
      <c r="P36" s="328">
        <f t="shared" ca="1" si="8"/>
        <v>-56.221572098351196</v>
      </c>
      <c r="Q36" s="328">
        <f t="shared" ca="1" si="8"/>
        <v>-29.537559624279794</v>
      </c>
      <c r="R36" s="328">
        <f t="shared" ca="1" si="8"/>
        <v>-26.544935467628832</v>
      </c>
      <c r="S36" s="328">
        <f t="shared" ca="1" si="8"/>
        <v>-23.511114035906601</v>
      </c>
      <c r="T36" s="328">
        <f t="shared" ca="1" si="8"/>
        <v>-20.423398276489699</v>
      </c>
      <c r="U36" s="328">
        <f t="shared" ca="1" si="8"/>
        <v>-17.268702513605405</v>
      </c>
      <c r="V36" s="328">
        <f t="shared" ca="1" si="8"/>
        <v>-14.033511461455539</v>
      </c>
      <c r="W36" s="328">
        <f t="shared" ca="1" si="8"/>
        <v>-10.703837427487436</v>
      </c>
      <c r="X36" s="328">
        <f t="shared" ca="1" si="8"/>
        <v>-7.2651755687117774</v>
      </c>
      <c r="Y36" s="328">
        <f t="shared" ca="1" si="8"/>
        <v>-3.7024570567964643</v>
      </c>
      <c r="Z36" s="328">
        <f t="shared" ca="1" si="8"/>
        <v>0</v>
      </c>
      <c r="AA36" s="328">
        <f t="shared" ca="1" si="8"/>
        <v>0</v>
      </c>
      <c r="AB36" s="328">
        <f t="shared" ca="1" si="8"/>
        <v>0</v>
      </c>
      <c r="AC36" s="328">
        <f t="shared" ca="1" si="8"/>
        <v>0</v>
      </c>
      <c r="AD36" s="328">
        <f t="shared" ca="1" si="8"/>
        <v>0</v>
      </c>
      <c r="AE36" s="598">
        <f t="shared" ca="1" si="8"/>
        <v>0</v>
      </c>
      <c r="AG36" s="541"/>
      <c r="AH36" s="559" t="s">
        <v>496</v>
      </c>
      <c r="AI36" s="559"/>
      <c r="AJ36" s="560" t="s">
        <v>19</v>
      </c>
      <c r="AK36" s="328">
        <f t="shared" ref="AK36:BJ36" si="9">AK32-AK26</f>
        <v>0</v>
      </c>
      <c r="AL36" s="328">
        <f t="shared" ca="1" si="9"/>
        <v>-15.380074078698279</v>
      </c>
      <c r="AM36" s="328">
        <f t="shared" ca="1" si="9"/>
        <v>-12.614752115127146</v>
      </c>
      <c r="AN36" s="328">
        <f t="shared" ca="1" si="9"/>
        <v>-10.359851919516025</v>
      </c>
      <c r="AO36" s="328">
        <f t="shared" ca="1" si="9"/>
        <v>-8.6521579723987543</v>
      </c>
      <c r="AP36" s="328">
        <f t="shared" ca="1" si="9"/>
        <v>-7.5328893425706553</v>
      </c>
      <c r="AQ36" s="328">
        <f t="shared" ca="1" si="9"/>
        <v>-7.0481974281588009</v>
      </c>
      <c r="AR36" s="328">
        <f t="shared" ca="1" si="9"/>
        <v>-7.2497230360632159</v>
      </c>
      <c r="AS36" s="328">
        <f t="shared" ca="1" si="9"/>
        <v>-8.1952199667402681</v>
      </c>
      <c r="AT36" s="328">
        <f t="shared" ca="1" si="9"/>
        <v>-9.9492531448474324</v>
      </c>
      <c r="AU36" s="328">
        <f t="shared" ca="1" si="9"/>
        <v>-12.583980316675195</v>
      </c>
      <c r="AV36" s="328">
        <f t="shared" ca="1" si="9"/>
        <v>11.207169102089722</v>
      </c>
      <c r="AW36" s="328">
        <f t="shared" ca="1" si="9"/>
        <v>9.7120141089440608</v>
      </c>
      <c r="AX36" s="328">
        <f t="shared" ca="1" si="9"/>
        <v>8.2155238508344155</v>
      </c>
      <c r="AY36" s="328">
        <f t="shared" ca="1" si="9"/>
        <v>6.7174829083457439</v>
      </c>
      <c r="AZ36" s="328">
        <f t="shared" ca="1" si="9"/>
        <v>5.2176496273054909</v>
      </c>
      <c r="BA36" s="328">
        <f t="shared" ca="1" si="9"/>
        <v>2.0859106292256229</v>
      </c>
      <c r="BB36" s="328">
        <f t="shared" ca="1" si="9"/>
        <v>-0.59904579570877559</v>
      </c>
      <c r="BC36" s="328">
        <f t="shared" ca="1" si="9"/>
        <v>-2.7973811526126724</v>
      </c>
      <c r="BD36" s="328">
        <f t="shared" ca="1" si="9"/>
        <v>-4.4642623291868233</v>
      </c>
      <c r="BE36" s="328">
        <f t="shared" ca="1" si="9"/>
        <v>-5.5492706778799743</v>
      </c>
      <c r="BF36" s="328">
        <f t="shared" ca="1" si="9"/>
        <v>-5.9957395386006453</v>
      </c>
      <c r="BG36" s="328">
        <f t="shared" ca="1" si="9"/>
        <v>-5.7400114737030776</v>
      </c>
      <c r="BH36" s="328">
        <f t="shared" ca="1" si="9"/>
        <v>-4.710605419786674</v>
      </c>
      <c r="BI36" s="328">
        <f t="shared" ca="1" si="9"/>
        <v>-2.8272827629964894</v>
      </c>
      <c r="BJ36" s="598">
        <f t="shared" ca="1" si="9"/>
        <v>0</v>
      </c>
    </row>
    <row r="37" spans="1:73" x14ac:dyDescent="0.25">
      <c r="B37" s="541"/>
      <c r="C37" s="559" t="s">
        <v>516</v>
      </c>
      <c r="D37" s="559"/>
      <c r="E37" s="560" t="s">
        <v>19</v>
      </c>
      <c r="F37" s="328">
        <f ca="1">SUM(F36:AE36)</f>
        <v>-535.27055998030369</v>
      </c>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598"/>
      <c r="AG37" s="541"/>
      <c r="AH37" s="559" t="s">
        <v>516</v>
      </c>
      <c r="AI37" s="559"/>
      <c r="AJ37" s="560" t="s">
        <v>19</v>
      </c>
      <c r="AK37" s="328">
        <f ca="1">SUM(AK36:BJ36)</f>
        <v>-89.093948244525848</v>
      </c>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598"/>
    </row>
    <row r="38" spans="1:73" x14ac:dyDescent="0.25">
      <c r="B38" s="539" t="s">
        <v>507</v>
      </c>
      <c r="C38" s="537"/>
      <c r="D38" s="561"/>
      <c r="E38" s="551" t="s">
        <v>19</v>
      </c>
      <c r="F38" s="645">
        <f ca="1">NPV(F24,F36:AE36)</f>
        <v>-323.06422086175985</v>
      </c>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434"/>
      <c r="AG38" s="539" t="s">
        <v>507</v>
      </c>
      <c r="AH38" s="537"/>
      <c r="AI38" s="561"/>
      <c r="AJ38" s="551" t="s">
        <v>19</v>
      </c>
      <c r="AK38" s="112">
        <f ca="1">NPV(AK24,AK36:BJ36)</f>
        <v>-60.924926486388671</v>
      </c>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434"/>
      <c r="BL38" s="522"/>
    </row>
    <row r="39" spans="1:73" x14ac:dyDescent="0.25">
      <c r="B39" s="539"/>
      <c r="C39" s="561" t="s">
        <v>508</v>
      </c>
      <c r="D39" s="561"/>
      <c r="E39" s="551" t="s">
        <v>19</v>
      </c>
      <c r="F39" s="645">
        <f ca="1">NPV(F24,F36:P36)</f>
        <v>-255.89398155257263</v>
      </c>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434"/>
      <c r="AG39" s="539"/>
      <c r="AH39" s="561" t="s">
        <v>508</v>
      </c>
      <c r="AI39" s="561"/>
      <c r="AJ39" s="551" t="s">
        <v>19</v>
      </c>
      <c r="AK39" s="112">
        <f ca="1">NPV(AK24,AK36:AU36)</f>
        <v>-71.288925354154756</v>
      </c>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434"/>
      <c r="BL39" s="522"/>
    </row>
    <row r="40" spans="1:73" x14ac:dyDescent="0.25">
      <c r="B40" s="566" t="s">
        <v>492</v>
      </c>
      <c r="C40" s="567"/>
      <c r="D40" s="568"/>
      <c r="E40" s="569" t="s">
        <v>19</v>
      </c>
      <c r="F40" s="180">
        <f>'CBA Sector'!E29</f>
        <v>-343</v>
      </c>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600"/>
      <c r="AG40" s="566" t="s">
        <v>492</v>
      </c>
      <c r="AH40" s="567"/>
      <c r="AI40" s="568"/>
      <c r="AJ40" s="569" t="s">
        <v>19</v>
      </c>
      <c r="AK40" s="180">
        <f>'CBA Sector'!E35</f>
        <v>-345</v>
      </c>
      <c r="AL40" s="599"/>
      <c r="AM40" s="599"/>
      <c r="AN40" s="599"/>
      <c r="AO40" s="599"/>
      <c r="AP40" s="599"/>
      <c r="AQ40" s="599"/>
      <c r="AR40" s="599"/>
      <c r="AS40" s="599"/>
      <c r="AT40" s="599"/>
      <c r="AU40" s="599"/>
      <c r="AV40" s="599"/>
      <c r="AW40" s="599"/>
      <c r="AX40" s="599"/>
      <c r="AY40" s="599"/>
      <c r="AZ40" s="599"/>
      <c r="BA40" s="599"/>
      <c r="BB40" s="599"/>
      <c r="BC40" s="599"/>
      <c r="BD40" s="599"/>
      <c r="BE40" s="599"/>
      <c r="BF40" s="599"/>
      <c r="BG40" s="599"/>
      <c r="BH40" s="599"/>
      <c r="BI40" s="599"/>
      <c r="BJ40" s="600"/>
    </row>
    <row r="41" spans="1:73" x14ac:dyDescent="0.25">
      <c r="A41" s="558"/>
      <c r="B41" s="806" t="s">
        <v>424</v>
      </c>
      <c r="C41" s="807"/>
      <c r="D41" s="808"/>
      <c r="H41" s="512"/>
      <c r="AF41" s="513"/>
      <c r="AG41" s="800" t="s">
        <v>424</v>
      </c>
      <c r="AH41" s="801"/>
      <c r="AI41" s="802"/>
      <c r="AJ41" s="553"/>
      <c r="AK41" s="648"/>
      <c r="AL41" s="649"/>
      <c r="AM41" s="650"/>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row>
    <row r="42" spans="1:73" x14ac:dyDescent="0.25">
      <c r="A42" s="558"/>
      <c r="B42" s="554" t="s">
        <v>93</v>
      </c>
      <c r="C42" s="555"/>
      <c r="D42" s="571"/>
      <c r="E42" s="588" t="s">
        <v>7</v>
      </c>
      <c r="F42" s="538">
        <f>IF('CBA Sector'!E15=TRUE,('Utility Sector'!$E$17*'Utility Sector'!$E$18+'Utility Sector'!$E$19*'Utility Sector'!$E$20),'CBA Sector'!$E$17)</f>
        <v>5.8000000000000003E-2</v>
      </c>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4"/>
      <c r="AG42" s="554" t="s">
        <v>93</v>
      </c>
      <c r="AH42" s="555"/>
      <c r="AI42" s="571"/>
      <c r="AJ42" s="588" t="s">
        <v>7</v>
      </c>
      <c r="AK42" s="586">
        <f>IF('CBA Sector'!$E$15=TRUE,('Utility Sector'!$E$17*'Utility Sector'!$E$18+'Utility Sector'!$E$19*'Utility Sector'!$E$20),'CBA Sector'!$E$16)</f>
        <v>5.8000000000000003E-2</v>
      </c>
      <c r="AL42" s="651"/>
      <c r="AM42" s="651"/>
      <c r="AN42" s="651"/>
      <c r="AO42" s="651"/>
      <c r="AP42" s="651"/>
      <c r="AQ42" s="651"/>
      <c r="AR42" s="651"/>
      <c r="AS42" s="651"/>
      <c r="AT42" s="651"/>
      <c r="AU42" s="651"/>
      <c r="AV42" s="651"/>
      <c r="AW42" s="651"/>
      <c r="AX42" s="651"/>
      <c r="AY42" s="651"/>
      <c r="AZ42" s="651"/>
      <c r="BA42" s="651"/>
      <c r="BB42" s="651"/>
      <c r="BC42" s="651"/>
      <c r="BD42" s="651"/>
      <c r="BE42" s="651"/>
      <c r="BF42" s="651"/>
      <c r="BG42" s="651"/>
      <c r="BH42" s="651"/>
      <c r="BI42" s="651"/>
      <c r="BJ42" s="652"/>
    </row>
    <row r="43" spans="1:73" x14ac:dyDescent="0.25">
      <c r="B43" s="541" t="s">
        <v>418</v>
      </c>
      <c r="C43" s="545"/>
      <c r="D43" s="559"/>
      <c r="E43" s="560"/>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509"/>
      <c r="AG43" s="541" t="s">
        <v>418</v>
      </c>
      <c r="AH43" s="545"/>
      <c r="AI43" s="559"/>
      <c r="AJ43" s="560"/>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598"/>
    </row>
    <row r="44" spans="1:73" x14ac:dyDescent="0.25">
      <c r="B44" s="541"/>
      <c r="C44" s="562" t="s">
        <v>502</v>
      </c>
      <c r="D44" s="562"/>
      <c r="E44" s="551" t="s">
        <v>500</v>
      </c>
      <c r="F44" s="377">
        <f>SUM(F45:F46)+'CBA Sector'!E47</f>
        <v>0</v>
      </c>
      <c r="G44" s="377">
        <f>SUM(G45:G46)+'CBA Sector'!F47</f>
        <v>21.063820999999997</v>
      </c>
      <c r="H44" s="377">
        <f>SUM(H45:H46)+'CBA Sector'!G47</f>
        <v>21.440409748</v>
      </c>
      <c r="I44" s="377">
        <f>SUM(I45:I46)+'CBA Sector'!H47</f>
        <v>21.825624196783998</v>
      </c>
      <c r="J44" s="377">
        <f>SUM(J45:J46)+'CBA Sector'!I47</f>
        <v>22.219688596916509</v>
      </c>
      <c r="K44" s="377">
        <f>SUM(K45:K46)+'CBA Sector'!J47</f>
        <v>22.622833322556332</v>
      </c>
      <c r="L44" s="377">
        <f>SUM(L45:L46)+'CBA Sector'!K47</f>
        <v>23.03529504151841</v>
      </c>
      <c r="M44" s="377">
        <f>SUM(M45:M46)+'CBA Sector'!L47</f>
        <v>23.457316890084797</v>
      </c>
      <c r="N44" s="377">
        <f>SUM(N45:N46)+'CBA Sector'!M47</f>
        <v>23.889148652697678</v>
      </c>
      <c r="O44" s="377">
        <f>SUM(O45:O46)+'CBA Sector'!N47</f>
        <v>24.331046946670934</v>
      </c>
      <c r="P44" s="377">
        <f>SUM(P45:P46)+'CBA Sector'!O47</f>
        <v>24.783275412060718</v>
      </c>
      <c r="Q44" s="377">
        <f>SUM(Q45:Q46)+'CBA Sector'!P47</f>
        <v>0</v>
      </c>
      <c r="R44" s="377">
        <f>SUM(R45:R46)+'CBA Sector'!Q47</f>
        <v>0</v>
      </c>
      <c r="S44" s="377">
        <f>SUM(S45:S46)+'CBA Sector'!R47</f>
        <v>0</v>
      </c>
      <c r="T44" s="377">
        <f>SUM(T45:T46)+'CBA Sector'!S47</f>
        <v>0</v>
      </c>
      <c r="U44" s="377">
        <f>SUM(U45:U46)+'CBA Sector'!T47</f>
        <v>0</v>
      </c>
      <c r="V44" s="377">
        <f>SUM(V45:V46)+'CBA Sector'!U47</f>
        <v>0</v>
      </c>
      <c r="W44" s="377">
        <f>SUM(W45:W46)+'CBA Sector'!V47</f>
        <v>0</v>
      </c>
      <c r="X44" s="377">
        <f>SUM(X45:X46)+'CBA Sector'!W47</f>
        <v>0</v>
      </c>
      <c r="Y44" s="377">
        <f>SUM(Y45:Y46)+'CBA Sector'!X47</f>
        <v>0</v>
      </c>
      <c r="Z44" s="377">
        <f>SUM(Z45:Z46)+'CBA Sector'!Y47</f>
        <v>0</v>
      </c>
      <c r="AA44" s="377">
        <f>SUM(AA45:AA46)+'CBA Sector'!Z47</f>
        <v>0</v>
      </c>
      <c r="AB44" s="377">
        <f>SUM(AB45:AB46)+'CBA Sector'!AA47</f>
        <v>0</v>
      </c>
      <c r="AC44" s="377">
        <f>SUM(AC45:AC46)+'CBA Sector'!AB47</f>
        <v>0</v>
      </c>
      <c r="AD44" s="377">
        <f>SUM(AD45:AD46)+'CBA Sector'!AC47</f>
        <v>0</v>
      </c>
      <c r="AE44" s="434">
        <f>SUM(AE45:AE46)+'CBA Sector'!AD47</f>
        <v>0</v>
      </c>
      <c r="AG44" s="541"/>
      <c r="AH44" s="562" t="s">
        <v>502</v>
      </c>
      <c r="AI44" s="562"/>
      <c r="AJ44" s="551" t="s">
        <v>500</v>
      </c>
      <c r="AK44" s="377">
        <f>SUM(AK45:AK46)+'CBA Sector'!E61</f>
        <v>0</v>
      </c>
      <c r="AL44" s="377">
        <f>SUM(AL45:AL46)+'CBA Sector'!F61</f>
        <v>88.440774000000005</v>
      </c>
      <c r="AM44" s="377">
        <f>SUM(AM45:AM46)+'CBA Sector'!G61</f>
        <v>94.194548559999987</v>
      </c>
      <c r="AN44" s="377">
        <f>SUM(AN45:AN46)+'CBA Sector'!H61</f>
        <v>100.32764275279199</v>
      </c>
      <c r="AO44" s="377">
        <f>SUM(AO45:AO46)+'CBA Sector'!I61</f>
        <v>106.86524839631485</v>
      </c>
      <c r="AP44" s="377">
        <f>SUM(AP45:AP46)+'CBA Sector'!J61</f>
        <v>113.8342371468008</v>
      </c>
      <c r="AQ44" s="377">
        <f>SUM(AQ45:AQ46)+'CBA Sector'!K61</f>
        <v>121.26327275945492</v>
      </c>
      <c r="AR44" s="377">
        <f>SUM(AR45:AR46)+'CBA Sector'!L61</f>
        <v>129.18293086021433</v>
      </c>
      <c r="AS44" s="377">
        <f>SUM(AS45:AS46)+'CBA Sector'!M61</f>
        <v>137.62582673145613</v>
      </c>
      <c r="AT44" s="377">
        <f>SUM(AT45:AT46)+'CBA Sector'!N61</f>
        <v>146.62675164820101</v>
      </c>
      <c r="AU44" s="377">
        <f>SUM(AU45:AU46)+'CBA Sector'!O61</f>
        <v>156.2228183372944</v>
      </c>
      <c r="AV44" s="377">
        <f>SUM(AV45:AV46)+'CBA Sector'!P61</f>
        <v>0</v>
      </c>
      <c r="AW44" s="377">
        <f>SUM(AW45:AW46)+'CBA Sector'!Q61</f>
        <v>0</v>
      </c>
      <c r="AX44" s="377">
        <f>SUM(AX45:AX46)+'CBA Sector'!R61</f>
        <v>0</v>
      </c>
      <c r="AY44" s="377">
        <f>SUM(AY45:AY46)+'CBA Sector'!S61</f>
        <v>0</v>
      </c>
      <c r="AZ44" s="377">
        <f>SUM(AZ45:AZ46)+'CBA Sector'!T61</f>
        <v>0</v>
      </c>
      <c r="BA44" s="377">
        <f>SUM(BA45:BA46)+'CBA Sector'!U61</f>
        <v>0</v>
      </c>
      <c r="BB44" s="377">
        <f>SUM(BB45:BB46)+'CBA Sector'!V61</f>
        <v>0</v>
      </c>
      <c r="BC44" s="377">
        <f>SUM(BC45:BC46)+'CBA Sector'!W61</f>
        <v>0</v>
      </c>
      <c r="BD44" s="377">
        <f>SUM(BD45:BD46)+'CBA Sector'!X61</f>
        <v>0</v>
      </c>
      <c r="BE44" s="377">
        <f>SUM(BE45:BE46)+'CBA Sector'!Y61</f>
        <v>0</v>
      </c>
      <c r="BF44" s="377">
        <f>SUM(BF45:BF46)+'CBA Sector'!Z61</f>
        <v>0</v>
      </c>
      <c r="BG44" s="377">
        <f>SUM(BG45:BG46)+'CBA Sector'!AA61</f>
        <v>0</v>
      </c>
      <c r="BH44" s="377">
        <f>SUM(BH45:BH46)+'CBA Sector'!AB61</f>
        <v>0</v>
      </c>
      <c r="BI44" s="377">
        <f>SUM(BI45:BI46)+'CBA Sector'!AC61</f>
        <v>0</v>
      </c>
      <c r="BJ44" s="377">
        <f>SUM(BJ45:BJ46)+'CBA Sector'!AD61</f>
        <v>0</v>
      </c>
    </row>
    <row r="45" spans="1:73" x14ac:dyDescent="0.25">
      <c r="B45" s="576"/>
      <c r="C45" s="565"/>
      <c r="D45" s="561" t="s">
        <v>518</v>
      </c>
      <c r="E45" s="551" t="s">
        <v>19</v>
      </c>
      <c r="F45" s="377">
        <f>F5/1000000</f>
        <v>0</v>
      </c>
      <c r="G45" s="377">
        <f t="shared" ref="G45:AE45" si="10">G5/1000000</f>
        <v>9.8428609999999992</v>
      </c>
      <c r="H45" s="377">
        <f t="shared" si="10"/>
        <v>10.118461108000002</v>
      </c>
      <c r="I45" s="377">
        <f t="shared" si="10"/>
        <v>10.401778019024002</v>
      </c>
      <c r="J45" s="377">
        <f t="shared" si="10"/>
        <v>10.693027803556673</v>
      </c>
      <c r="K45" s="377">
        <f t="shared" si="10"/>
        <v>10.99243258205626</v>
      </c>
      <c r="L45" s="377">
        <f t="shared" si="10"/>
        <v>11.300220694353836</v>
      </c>
      <c r="M45" s="377">
        <f t="shared" si="10"/>
        <v>11.616626873795743</v>
      </c>
      <c r="N45" s="377">
        <f t="shared" si="10"/>
        <v>11.941892426262024</v>
      </c>
      <c r="O45" s="377">
        <f t="shared" si="10"/>
        <v>12.276265414197361</v>
      </c>
      <c r="P45" s="377">
        <f t="shared" si="10"/>
        <v>12.620000845794888</v>
      </c>
      <c r="Q45" s="377">
        <f t="shared" si="10"/>
        <v>0</v>
      </c>
      <c r="R45" s="377">
        <f t="shared" si="10"/>
        <v>0</v>
      </c>
      <c r="S45" s="377">
        <f t="shared" si="10"/>
        <v>0</v>
      </c>
      <c r="T45" s="377">
        <f t="shared" si="10"/>
        <v>0</v>
      </c>
      <c r="U45" s="377">
        <f t="shared" si="10"/>
        <v>0</v>
      </c>
      <c r="V45" s="377">
        <f t="shared" si="10"/>
        <v>0</v>
      </c>
      <c r="W45" s="377">
        <f t="shared" si="10"/>
        <v>0</v>
      </c>
      <c r="X45" s="377">
        <f t="shared" si="10"/>
        <v>0</v>
      </c>
      <c r="Y45" s="377">
        <f t="shared" si="10"/>
        <v>0</v>
      </c>
      <c r="Z45" s="377">
        <f t="shared" si="10"/>
        <v>0</v>
      </c>
      <c r="AA45" s="377">
        <f t="shared" si="10"/>
        <v>0</v>
      </c>
      <c r="AB45" s="377">
        <f t="shared" si="10"/>
        <v>0</v>
      </c>
      <c r="AC45" s="377">
        <f t="shared" si="10"/>
        <v>0</v>
      </c>
      <c r="AD45" s="377">
        <f t="shared" si="10"/>
        <v>0</v>
      </c>
      <c r="AE45" s="377">
        <f t="shared" si="10"/>
        <v>0</v>
      </c>
      <c r="AF45" s="517"/>
      <c r="AG45" s="576"/>
      <c r="AH45" s="565"/>
      <c r="AI45" s="561" t="s">
        <v>518</v>
      </c>
      <c r="AJ45" s="551" t="s">
        <v>19</v>
      </c>
      <c r="AK45" s="377">
        <f t="shared" ref="AK45:BJ45" si="11">AK27</f>
        <v>0</v>
      </c>
      <c r="AL45" s="377">
        <f t="shared" si="11"/>
        <v>5.5405579999999999</v>
      </c>
      <c r="AM45" s="377">
        <f t="shared" si="11"/>
        <v>5.7400180880000002</v>
      </c>
      <c r="AN45" s="377">
        <f t="shared" si="11"/>
        <v>5.9466587391680008</v>
      </c>
      <c r="AO45" s="377">
        <f t="shared" si="11"/>
        <v>6.1607384537780492</v>
      </c>
      <c r="AP45" s="377">
        <f t="shared" si="11"/>
        <v>6.3825250381140588</v>
      </c>
      <c r="AQ45" s="377">
        <f t="shared" si="11"/>
        <v>6.6122959394861658</v>
      </c>
      <c r="AR45" s="377">
        <f t="shared" si="11"/>
        <v>6.8503385933076677</v>
      </c>
      <c r="AS45" s="377">
        <f t="shared" si="11"/>
        <v>7.0969507826667435</v>
      </c>
      <c r="AT45" s="377">
        <f t="shared" si="11"/>
        <v>7.3524410108427469</v>
      </c>
      <c r="AU45" s="377">
        <f t="shared" si="11"/>
        <v>7.6171288872330862</v>
      </c>
      <c r="AV45" s="377">
        <f t="shared" si="11"/>
        <v>0</v>
      </c>
      <c r="AW45" s="377">
        <f t="shared" si="11"/>
        <v>0</v>
      </c>
      <c r="AX45" s="377">
        <f t="shared" si="11"/>
        <v>0</v>
      </c>
      <c r="AY45" s="377">
        <f t="shared" si="11"/>
        <v>0</v>
      </c>
      <c r="AZ45" s="377">
        <f t="shared" si="11"/>
        <v>0</v>
      </c>
      <c r="BA45" s="377">
        <f t="shared" si="11"/>
        <v>0</v>
      </c>
      <c r="BB45" s="377">
        <f t="shared" si="11"/>
        <v>0</v>
      </c>
      <c r="BC45" s="377">
        <f t="shared" si="11"/>
        <v>0</v>
      </c>
      <c r="BD45" s="377">
        <f t="shared" si="11"/>
        <v>0</v>
      </c>
      <c r="BE45" s="377">
        <f t="shared" si="11"/>
        <v>0</v>
      </c>
      <c r="BF45" s="377">
        <f t="shared" si="11"/>
        <v>0</v>
      </c>
      <c r="BG45" s="377">
        <f t="shared" si="11"/>
        <v>0</v>
      </c>
      <c r="BH45" s="377">
        <f t="shared" si="11"/>
        <v>0</v>
      </c>
      <c r="BI45" s="377">
        <f t="shared" si="11"/>
        <v>0</v>
      </c>
      <c r="BJ45" s="434">
        <f t="shared" si="11"/>
        <v>0</v>
      </c>
    </row>
    <row r="46" spans="1:73" x14ac:dyDescent="0.25">
      <c r="B46" s="576"/>
      <c r="C46" s="565"/>
      <c r="D46" s="572" t="s">
        <v>517</v>
      </c>
      <c r="E46" s="551" t="s">
        <v>19</v>
      </c>
      <c r="F46" s="377">
        <f>F4/1000000</f>
        <v>0</v>
      </c>
      <c r="G46" s="377">
        <f t="shared" ref="G46:AE46" si="12">G4/1000000</f>
        <v>11.22096</v>
      </c>
      <c r="H46" s="377">
        <f t="shared" si="12"/>
        <v>11.321948639999999</v>
      </c>
      <c r="I46" s="377">
        <f t="shared" si="12"/>
        <v>11.423846177759998</v>
      </c>
      <c r="J46" s="377">
        <f t="shared" si="12"/>
        <v>11.526660793359836</v>
      </c>
      <c r="K46" s="377">
        <f t="shared" si="12"/>
        <v>11.630400740500074</v>
      </c>
      <c r="L46" s="377">
        <f t="shared" si="12"/>
        <v>11.735074347164574</v>
      </c>
      <c r="M46" s="377">
        <f t="shared" si="12"/>
        <v>11.840690016289052</v>
      </c>
      <c r="N46" s="377">
        <f t="shared" si="12"/>
        <v>11.947256226435654</v>
      </c>
      <c r="O46" s="377">
        <f t="shared" si="12"/>
        <v>12.054781532473573</v>
      </c>
      <c r="P46" s="377">
        <f t="shared" si="12"/>
        <v>12.163274566265832</v>
      </c>
      <c r="Q46" s="377">
        <f t="shared" si="12"/>
        <v>0</v>
      </c>
      <c r="R46" s="377">
        <f t="shared" si="12"/>
        <v>0</v>
      </c>
      <c r="S46" s="377">
        <f t="shared" si="12"/>
        <v>0</v>
      </c>
      <c r="T46" s="377">
        <f t="shared" si="12"/>
        <v>0</v>
      </c>
      <c r="U46" s="377">
        <f t="shared" si="12"/>
        <v>0</v>
      </c>
      <c r="V46" s="377">
        <f t="shared" si="12"/>
        <v>0</v>
      </c>
      <c r="W46" s="377">
        <f t="shared" si="12"/>
        <v>0</v>
      </c>
      <c r="X46" s="377">
        <f t="shared" si="12"/>
        <v>0</v>
      </c>
      <c r="Y46" s="377">
        <f t="shared" si="12"/>
        <v>0</v>
      </c>
      <c r="Z46" s="377">
        <f t="shared" si="12"/>
        <v>0</v>
      </c>
      <c r="AA46" s="377">
        <f t="shared" si="12"/>
        <v>0</v>
      </c>
      <c r="AB46" s="377">
        <f t="shared" si="12"/>
        <v>0</v>
      </c>
      <c r="AC46" s="377">
        <f t="shared" si="12"/>
        <v>0</v>
      </c>
      <c r="AD46" s="377">
        <f t="shared" si="12"/>
        <v>0</v>
      </c>
      <c r="AE46" s="377">
        <f t="shared" si="12"/>
        <v>0</v>
      </c>
      <c r="AF46" s="517"/>
      <c r="AG46" s="576"/>
      <c r="AH46" s="565"/>
      <c r="AI46" s="572" t="s">
        <v>517</v>
      </c>
      <c r="AJ46" s="551" t="s">
        <v>19</v>
      </c>
      <c r="AK46" s="377">
        <f t="shared" ref="AK46:BJ46" si="13">AK79</f>
        <v>0</v>
      </c>
      <c r="AL46" s="377">
        <f t="shared" si="13"/>
        <v>82.900216</v>
      </c>
      <c r="AM46" s="377">
        <f t="shared" si="13"/>
        <v>88.454530471999988</v>
      </c>
      <c r="AN46" s="377">
        <f t="shared" si="13"/>
        <v>94.380984013623987</v>
      </c>
      <c r="AO46" s="377">
        <f t="shared" si="13"/>
        <v>100.7045099425368</v>
      </c>
      <c r="AP46" s="377">
        <f t="shared" si="13"/>
        <v>107.45171210868675</v>
      </c>
      <c r="AQ46" s="377">
        <f t="shared" si="13"/>
        <v>114.65097681996876</v>
      </c>
      <c r="AR46" s="377">
        <f t="shared" si="13"/>
        <v>122.33259226690666</v>
      </c>
      <c r="AS46" s="377">
        <f t="shared" si="13"/>
        <v>130.52887594878939</v>
      </c>
      <c r="AT46" s="377">
        <f t="shared" si="13"/>
        <v>139.27431063735827</v>
      </c>
      <c r="AU46" s="377">
        <f t="shared" si="13"/>
        <v>148.60568945006131</v>
      </c>
      <c r="AV46" s="377">
        <f t="shared" si="13"/>
        <v>0</v>
      </c>
      <c r="AW46" s="377">
        <f t="shared" si="13"/>
        <v>0</v>
      </c>
      <c r="AX46" s="377">
        <f t="shared" si="13"/>
        <v>0</v>
      </c>
      <c r="AY46" s="377">
        <f t="shared" si="13"/>
        <v>0</v>
      </c>
      <c r="AZ46" s="377">
        <f t="shared" si="13"/>
        <v>0</v>
      </c>
      <c r="BA46" s="377">
        <f t="shared" si="13"/>
        <v>0</v>
      </c>
      <c r="BB46" s="377">
        <f t="shared" si="13"/>
        <v>0</v>
      </c>
      <c r="BC46" s="377">
        <f t="shared" si="13"/>
        <v>0</v>
      </c>
      <c r="BD46" s="377">
        <f t="shared" si="13"/>
        <v>0</v>
      </c>
      <c r="BE46" s="377">
        <f t="shared" si="13"/>
        <v>0</v>
      </c>
      <c r="BF46" s="377">
        <f t="shared" si="13"/>
        <v>0</v>
      </c>
      <c r="BG46" s="377">
        <f t="shared" si="13"/>
        <v>0</v>
      </c>
      <c r="BH46" s="377">
        <f t="shared" si="13"/>
        <v>0</v>
      </c>
      <c r="BI46" s="377">
        <f t="shared" si="13"/>
        <v>0</v>
      </c>
      <c r="BJ46" s="434">
        <f t="shared" si="13"/>
        <v>0</v>
      </c>
      <c r="BL46" s="517"/>
    </row>
    <row r="47" spans="1:73" x14ac:dyDescent="0.25">
      <c r="B47" s="576"/>
      <c r="C47" s="559" t="s">
        <v>501</v>
      </c>
      <c r="D47" s="559"/>
      <c r="E47" s="560" t="s">
        <v>19</v>
      </c>
      <c r="F47" s="37">
        <f>SUM(F44:AE44)</f>
        <v>228.66845980728937</v>
      </c>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598"/>
      <c r="AF47" s="520"/>
      <c r="AG47" s="576"/>
      <c r="AH47" s="559" t="s">
        <v>501</v>
      </c>
      <c r="AI47" s="559"/>
      <c r="AJ47" s="560" t="s">
        <v>19</v>
      </c>
      <c r="AK47" s="37">
        <f>SUM(AK44:BJ44)</f>
        <v>1194.5840511925285</v>
      </c>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598"/>
      <c r="BL47" s="517"/>
    </row>
    <row r="48" spans="1:73" x14ac:dyDescent="0.25">
      <c r="B48" s="539" t="s">
        <v>416</v>
      </c>
      <c r="C48" s="537"/>
      <c r="D48" s="561"/>
      <c r="E48" s="551"/>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434"/>
      <c r="AF48" s="516"/>
      <c r="AG48" s="539" t="s">
        <v>416</v>
      </c>
      <c r="AH48" s="537"/>
      <c r="AI48" s="561"/>
      <c r="AJ48" s="551"/>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434"/>
      <c r="BL48" s="517"/>
    </row>
    <row r="49" spans="2:64" x14ac:dyDescent="0.25">
      <c r="B49" s="564"/>
      <c r="C49" s="577" t="s">
        <v>503</v>
      </c>
      <c r="D49" s="575"/>
      <c r="E49" s="560" t="s">
        <v>19</v>
      </c>
      <c r="F49" s="328">
        <f>F50+'CBA Sector'!E48</f>
        <v>0</v>
      </c>
      <c r="G49" s="328">
        <f>G50+'CBA Sector'!F48</f>
        <v>4.12950988464</v>
      </c>
      <c r="H49" s="328">
        <f ca="1">H50+'CBA Sector'!G48</f>
        <v>8.4772548409796595</v>
      </c>
      <c r="I49" s="328">
        <f ca="1">I50+'CBA Sector'!H48</f>
        <v>13.066660072685256</v>
      </c>
      <c r="J49" s="328">
        <f ca="1">J50+'CBA Sector'!I48</f>
        <v>17.922861293836444</v>
      </c>
      <c r="K49" s="328">
        <f ca="1">K50+'CBA Sector'!J48</f>
        <v>23.072839291510999</v>
      </c>
      <c r="L49" s="328">
        <f ca="1">L50+'CBA Sector'!K48</f>
        <v>28.545564522778914</v>
      </c>
      <c r="M49" s="328">
        <f ca="1">M50+'CBA Sector'!L48</f>
        <v>34.372152501427664</v>
      </c>
      <c r="N49" s="328">
        <f ca="1">N50+'CBA Sector'!M48</f>
        <v>40.58603078610723</v>
      </c>
      <c r="O49" s="328">
        <f ca="1">O50+'CBA Sector'!N48</f>
        <v>47.223118442162416</v>
      </c>
      <c r="P49" s="328">
        <f ca="1">P50+'CBA Sector'!O48</f>
        <v>54.322018914523305</v>
      </c>
      <c r="Q49" s="328">
        <f ca="1">Q50+'CBA Sector'!P48</f>
        <v>50.547128782292631</v>
      </c>
      <c r="R49" s="328">
        <f ca="1">R50+'CBA Sector'!Q48</f>
        <v>46.498055878440084</v>
      </c>
      <c r="S49" s="328">
        <f ca="1">S50+'CBA Sector'!R48</f>
        <v>42.144038005059244</v>
      </c>
      <c r="T49" s="328">
        <f ca="1">T50+'CBA Sector'!S48</f>
        <v>37.451962788065913</v>
      </c>
      <c r="U49" s="328">
        <f ca="1">U50+'CBA Sector'!T48</f>
        <v>32.386181847169269</v>
      </c>
      <c r="V49" s="328">
        <f ca="1">V50+'CBA Sector'!U48</f>
        <v>26.908310999005032</v>
      </c>
      <c r="W49" s="328">
        <f ca="1">W50+'CBA Sector'!V48</f>
        <v>20.977015440760638</v>
      </c>
      <c r="X49" s="328">
        <f ca="1">X50+'CBA Sector'!W48</f>
        <v>14.547778782950255</v>
      </c>
      <c r="Y49" s="328">
        <f ca="1">Y50+'CBA Sector'!X48</f>
        <v>7.5726547154457142</v>
      </c>
      <c r="Z49" s="328">
        <f>Z50+'CBA Sector'!Y48</f>
        <v>0</v>
      </c>
      <c r="AA49" s="328">
        <f>AA50+'CBA Sector'!Z48</f>
        <v>0</v>
      </c>
      <c r="AB49" s="328">
        <f>AB50+'CBA Sector'!AA48</f>
        <v>0</v>
      </c>
      <c r="AC49" s="328">
        <f>AC50+'CBA Sector'!AB48</f>
        <v>0</v>
      </c>
      <c r="AD49" s="328">
        <f>AD50+'CBA Sector'!AC48</f>
        <v>0</v>
      </c>
      <c r="AE49" s="598">
        <f>AE50+'CBA Sector'!AD48</f>
        <v>0</v>
      </c>
      <c r="AF49" s="516"/>
      <c r="AG49" s="564"/>
      <c r="AH49" s="577" t="s">
        <v>503</v>
      </c>
      <c r="AI49" s="575"/>
      <c r="AJ49" s="560" t="s">
        <v>19</v>
      </c>
      <c r="AK49" s="328">
        <f>AK50+'CBA Sector'!E62</f>
        <v>0</v>
      </c>
      <c r="AL49" s="328">
        <f>AL50+'CBA Sector'!F62</f>
        <v>19.47715506398</v>
      </c>
      <c r="AM49" s="328">
        <f>AM50+'CBA Sector'!G62</f>
        <v>40.517513808151037</v>
      </c>
      <c r="AN49" s="328">
        <f>AN50+'CBA Sector'!H62</f>
        <v>63.372551477755728</v>
      </c>
      <c r="AO49" s="328">
        <f>AO50+'CBA Sector'!I62</f>
        <v>88.327454457909568</v>
      </c>
      <c r="AP49" s="328">
        <f>AP50+'CBA Sector'!J62</f>
        <v>115.70575619277597</v>
      </c>
      <c r="AQ49" s="328">
        <f>AQ50+'CBA Sector'!K62</f>
        <v>145.87460490664938</v>
      </c>
      <c r="AR49" s="328">
        <f>AR50+'CBA Sector'!L62</f>
        <v>179.25074931422813</v>
      </c>
      <c r="AS49" s="328">
        <f>AS50+'CBA Sector'!M62</f>
        <v>216.30734025929357</v>
      </c>
      <c r="AT49" s="328">
        <f>AT50+'CBA Sector'!N62</f>
        <v>257.58165957541803</v>
      </c>
      <c r="AU49" s="328">
        <f>AU50+'CBA Sector'!O62</f>
        <v>303.68390263770937</v>
      </c>
      <c r="AV49" s="328">
        <f>AV50+'CBA Sector'!P62</f>
        <v>308.45279677356876</v>
      </c>
      <c r="AW49" s="328">
        <f>AW50+'CBA Sector'!Q62</f>
        <v>313.54540464547227</v>
      </c>
      <c r="AX49" s="328">
        <f>AX50+'CBA Sector'!R62</f>
        <v>318.96801757643192</v>
      </c>
      <c r="AY49" s="328">
        <f>AY50+'CBA Sector'!S62</f>
        <v>324.72727781766787</v>
      </c>
      <c r="AZ49" s="328">
        <f>AZ50+'CBA Sector'!T62</f>
        <v>330.83018647882807</v>
      </c>
      <c r="BA49" s="328">
        <f>BA50+'CBA Sector'!U62</f>
        <v>314.62481731497496</v>
      </c>
      <c r="BB49" s="328">
        <f>BB50+'CBA Sector'!V62</f>
        <v>296.04463886270531</v>
      </c>
      <c r="BC49" s="328">
        <f>BC50+'CBA Sector'!W62</f>
        <v>274.68871639379495</v>
      </c>
      <c r="BD49" s="328">
        <f>BD50+'CBA Sector'!X62</f>
        <v>250.10070474456163</v>
      </c>
      <c r="BE49" s="328">
        <f>BE50+'CBA Sector'!Y62</f>
        <v>221.76121026214815</v>
      </c>
      <c r="BF49" s="328">
        <f>BF50+'CBA Sector'!Z62</f>
        <v>189.07911009548951</v>
      </c>
      <c r="BG49" s="328">
        <f>BG50+'CBA Sector'!AA62</f>
        <v>151.38168657186333</v>
      </c>
      <c r="BH49" s="328">
        <f>BH50+'CBA Sector'!AB62</f>
        <v>107.90341500059462</v>
      </c>
      <c r="BI49" s="328">
        <f>BI50+'CBA Sector'!AC62</f>
        <v>57.773221200869266</v>
      </c>
      <c r="BJ49" s="328">
        <f>BJ50+'CBA Sector'!AD62</f>
        <v>0</v>
      </c>
      <c r="BL49" s="517"/>
    </row>
    <row r="50" spans="2:64" x14ac:dyDescent="0.25">
      <c r="B50" s="539"/>
      <c r="C50" s="545"/>
      <c r="D50" s="559" t="s">
        <v>520</v>
      </c>
      <c r="E50" s="578" t="s">
        <v>19</v>
      </c>
      <c r="F50" s="328">
        <f>F8/1000000</f>
        <v>0</v>
      </c>
      <c r="G50" s="328">
        <f t="shared" ref="G50:AE50" si="14">G8/1000000</f>
        <v>4.12950988464</v>
      </c>
      <c r="H50" s="328">
        <f t="shared" ca="1" si="14"/>
        <v>8.4772548409796595</v>
      </c>
      <c r="I50" s="328">
        <f t="shared" ca="1" si="14"/>
        <v>13.066660072685256</v>
      </c>
      <c r="J50" s="328">
        <f t="shared" ca="1" si="14"/>
        <v>17.922861293836444</v>
      </c>
      <c r="K50" s="328">
        <f t="shared" ca="1" si="14"/>
        <v>23.072839291510999</v>
      </c>
      <c r="L50" s="328">
        <f t="shared" ca="1" si="14"/>
        <v>28.545564522778914</v>
      </c>
      <c r="M50" s="328">
        <f t="shared" ca="1" si="14"/>
        <v>34.372152501427664</v>
      </c>
      <c r="N50" s="328">
        <f t="shared" ca="1" si="14"/>
        <v>40.58603078610723</v>
      </c>
      <c r="O50" s="328">
        <f t="shared" ca="1" si="14"/>
        <v>47.223118442162416</v>
      </c>
      <c r="P50" s="328">
        <f t="shared" ca="1" si="14"/>
        <v>54.322018914523305</v>
      </c>
      <c r="Q50" s="328">
        <f t="shared" ca="1" si="14"/>
        <v>50.547128782292631</v>
      </c>
      <c r="R50" s="328">
        <f t="shared" ca="1" si="14"/>
        <v>46.498055878440084</v>
      </c>
      <c r="S50" s="328">
        <f t="shared" ca="1" si="14"/>
        <v>42.144038005059244</v>
      </c>
      <c r="T50" s="328">
        <f t="shared" ca="1" si="14"/>
        <v>37.451962788065913</v>
      </c>
      <c r="U50" s="328">
        <f t="shared" ca="1" si="14"/>
        <v>32.386181847169269</v>
      </c>
      <c r="V50" s="328">
        <f t="shared" ca="1" si="14"/>
        <v>26.908310999005032</v>
      </c>
      <c r="W50" s="328">
        <f t="shared" ca="1" si="14"/>
        <v>20.977015440760638</v>
      </c>
      <c r="X50" s="328">
        <f t="shared" ca="1" si="14"/>
        <v>14.547778782950255</v>
      </c>
      <c r="Y50" s="328">
        <f t="shared" ca="1" si="14"/>
        <v>7.5726547154457142</v>
      </c>
      <c r="Z50" s="328">
        <f t="shared" si="14"/>
        <v>0</v>
      </c>
      <c r="AA50" s="328">
        <f t="shared" si="14"/>
        <v>0</v>
      </c>
      <c r="AB50" s="328">
        <f t="shared" si="14"/>
        <v>0</v>
      </c>
      <c r="AC50" s="328">
        <f t="shared" si="14"/>
        <v>0</v>
      </c>
      <c r="AD50" s="328">
        <f t="shared" si="14"/>
        <v>0</v>
      </c>
      <c r="AE50" s="328">
        <f t="shared" si="14"/>
        <v>0</v>
      </c>
      <c r="AF50" s="516"/>
      <c r="AG50" s="539"/>
      <c r="AH50" s="545"/>
      <c r="AI50" s="559" t="s">
        <v>520</v>
      </c>
      <c r="AJ50" s="578" t="s">
        <v>19</v>
      </c>
      <c r="AK50" s="328">
        <f t="shared" ref="AK50:BJ50" si="15">AK33</f>
        <v>0</v>
      </c>
      <c r="AL50" s="328">
        <f t="shared" si="15"/>
        <v>19.47715506398</v>
      </c>
      <c r="AM50" s="328">
        <f t="shared" si="15"/>
        <v>40.517513808151037</v>
      </c>
      <c r="AN50" s="328">
        <f t="shared" si="15"/>
        <v>63.372551477755728</v>
      </c>
      <c r="AO50" s="328">
        <f t="shared" si="15"/>
        <v>88.327454457909568</v>
      </c>
      <c r="AP50" s="328">
        <f t="shared" si="15"/>
        <v>115.70575619277597</v>
      </c>
      <c r="AQ50" s="328">
        <f t="shared" si="15"/>
        <v>145.87460490664938</v>
      </c>
      <c r="AR50" s="328">
        <f t="shared" si="15"/>
        <v>179.25074931422813</v>
      </c>
      <c r="AS50" s="328">
        <f t="shared" si="15"/>
        <v>216.30734025929357</v>
      </c>
      <c r="AT50" s="328">
        <f t="shared" si="15"/>
        <v>257.58165957541803</v>
      </c>
      <c r="AU50" s="328">
        <f t="shared" si="15"/>
        <v>303.68390263770937</v>
      </c>
      <c r="AV50" s="328">
        <f t="shared" si="15"/>
        <v>308.45279677356876</v>
      </c>
      <c r="AW50" s="328">
        <f t="shared" si="15"/>
        <v>313.54540464547227</v>
      </c>
      <c r="AX50" s="328">
        <f t="shared" si="15"/>
        <v>318.96801757643192</v>
      </c>
      <c r="AY50" s="328">
        <f t="shared" si="15"/>
        <v>324.72727781766787</v>
      </c>
      <c r="AZ50" s="328">
        <f t="shared" si="15"/>
        <v>330.83018647882807</v>
      </c>
      <c r="BA50" s="328">
        <f t="shared" si="15"/>
        <v>314.62481731497496</v>
      </c>
      <c r="BB50" s="328">
        <f t="shared" si="15"/>
        <v>296.04463886270531</v>
      </c>
      <c r="BC50" s="328">
        <f t="shared" si="15"/>
        <v>274.68871639379495</v>
      </c>
      <c r="BD50" s="328">
        <f t="shared" si="15"/>
        <v>250.10070474456163</v>
      </c>
      <c r="BE50" s="328">
        <f t="shared" si="15"/>
        <v>221.76121026214815</v>
      </c>
      <c r="BF50" s="328">
        <f t="shared" si="15"/>
        <v>189.07911009548951</v>
      </c>
      <c r="BG50" s="328">
        <f t="shared" si="15"/>
        <v>151.38168657186333</v>
      </c>
      <c r="BH50" s="328">
        <f t="shared" si="15"/>
        <v>107.90341500059462</v>
      </c>
      <c r="BI50" s="328">
        <f t="shared" si="15"/>
        <v>57.773221200869266</v>
      </c>
      <c r="BJ50" s="598">
        <f t="shared" si="15"/>
        <v>0</v>
      </c>
      <c r="BL50" s="517"/>
    </row>
    <row r="51" spans="2:64" x14ac:dyDescent="0.25">
      <c r="B51" s="574"/>
      <c r="C51" s="579" t="s">
        <v>504</v>
      </c>
      <c r="D51" s="561"/>
      <c r="E51" s="563" t="s">
        <v>19</v>
      </c>
      <c r="F51" s="112">
        <f ca="1">SUM(F49:AE49)</f>
        <v>550.75113778984064</v>
      </c>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434"/>
      <c r="AG51" s="574"/>
      <c r="AH51" s="579" t="s">
        <v>504</v>
      </c>
      <c r="AI51" s="561"/>
      <c r="AJ51" s="563" t="s">
        <v>19</v>
      </c>
      <c r="AK51" s="112">
        <f>SUM(AK49:BJ49)</f>
        <v>4889.9798914328412</v>
      </c>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434"/>
      <c r="BL51" s="517"/>
    </row>
    <row r="52" spans="2:64" x14ac:dyDescent="0.25">
      <c r="B52" s="541" t="s">
        <v>413</v>
      </c>
      <c r="C52" s="545"/>
      <c r="D52" s="559"/>
      <c r="E52" s="560"/>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598"/>
      <c r="AF52" s="516"/>
      <c r="AG52" s="541" t="s">
        <v>413</v>
      </c>
      <c r="AH52" s="545"/>
      <c r="AI52" s="559"/>
      <c r="AJ52" s="560"/>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598"/>
      <c r="BL52" s="517"/>
    </row>
    <row r="53" spans="2:64" x14ac:dyDescent="0.25">
      <c r="B53" s="541"/>
      <c r="C53" s="545" t="s">
        <v>505</v>
      </c>
      <c r="D53" s="559"/>
      <c r="E53" s="560" t="s">
        <v>19</v>
      </c>
      <c r="F53" s="328">
        <f t="shared" ref="F53:AE53" si="16">F49-F44</f>
        <v>0</v>
      </c>
      <c r="G53" s="328">
        <f t="shared" si="16"/>
        <v>-16.934311115359996</v>
      </c>
      <c r="H53" s="328">
        <f t="shared" ca="1" si="16"/>
        <v>-12.963154907020341</v>
      </c>
      <c r="I53" s="328">
        <f t="shared" ca="1" si="16"/>
        <v>-8.7589641240987426</v>
      </c>
      <c r="J53" s="328">
        <f t="shared" ca="1" si="16"/>
        <v>-4.2968273030800646</v>
      </c>
      <c r="K53" s="328">
        <f t="shared" ca="1" si="16"/>
        <v>0.45000596895466671</v>
      </c>
      <c r="L53" s="328">
        <f t="shared" ca="1" si="16"/>
        <v>5.5102694812605044</v>
      </c>
      <c r="M53" s="328">
        <f t="shared" ca="1" si="16"/>
        <v>10.914835611342866</v>
      </c>
      <c r="N53" s="328">
        <f t="shared" ca="1" si="16"/>
        <v>16.696882133409552</v>
      </c>
      <c r="O53" s="328">
        <f t="shared" ca="1" si="16"/>
        <v>22.892071495491482</v>
      </c>
      <c r="P53" s="328">
        <f t="shared" ca="1" si="16"/>
        <v>29.538743502462587</v>
      </c>
      <c r="Q53" s="328">
        <f t="shared" ca="1" si="16"/>
        <v>50.547128782292631</v>
      </c>
      <c r="R53" s="328">
        <f t="shared" ca="1" si="16"/>
        <v>46.498055878440084</v>
      </c>
      <c r="S53" s="328">
        <f t="shared" ca="1" si="16"/>
        <v>42.144038005059244</v>
      </c>
      <c r="T53" s="328">
        <f t="shared" ca="1" si="16"/>
        <v>37.451962788065913</v>
      </c>
      <c r="U53" s="328">
        <f t="shared" ca="1" si="16"/>
        <v>32.386181847169269</v>
      </c>
      <c r="V53" s="328">
        <f t="shared" ca="1" si="16"/>
        <v>26.908310999005032</v>
      </c>
      <c r="W53" s="328">
        <f t="shared" ca="1" si="16"/>
        <v>20.977015440760638</v>
      </c>
      <c r="X53" s="328">
        <f t="shared" ca="1" si="16"/>
        <v>14.547778782950255</v>
      </c>
      <c r="Y53" s="328">
        <f t="shared" ca="1" si="16"/>
        <v>7.5726547154457142</v>
      </c>
      <c r="Z53" s="328">
        <f t="shared" si="16"/>
        <v>0</v>
      </c>
      <c r="AA53" s="328">
        <f t="shared" si="16"/>
        <v>0</v>
      </c>
      <c r="AB53" s="328">
        <f t="shared" si="16"/>
        <v>0</v>
      </c>
      <c r="AC53" s="328">
        <f t="shared" si="16"/>
        <v>0</v>
      </c>
      <c r="AD53" s="328">
        <f t="shared" si="16"/>
        <v>0</v>
      </c>
      <c r="AE53" s="328">
        <f t="shared" si="16"/>
        <v>0</v>
      </c>
      <c r="AF53" s="583"/>
      <c r="AG53" s="541"/>
      <c r="AH53" s="545" t="s">
        <v>505</v>
      </c>
      <c r="AI53" s="559"/>
      <c r="AJ53" s="560" t="s">
        <v>19</v>
      </c>
      <c r="AK53" s="328">
        <f t="shared" ref="AK53:BJ53" si="17">AK49-AK44</f>
        <v>0</v>
      </c>
      <c r="AL53" s="328">
        <f t="shared" si="17"/>
        <v>-68.963618936019998</v>
      </c>
      <c r="AM53" s="328">
        <f t="shared" si="17"/>
        <v>-53.67703475184895</v>
      </c>
      <c r="AN53" s="328">
        <f t="shared" si="17"/>
        <v>-36.95509127503626</v>
      </c>
      <c r="AO53" s="328">
        <f t="shared" si="17"/>
        <v>-18.537793938405287</v>
      </c>
      <c r="AP53" s="328">
        <f t="shared" si="17"/>
        <v>1.8715190459751625</v>
      </c>
      <c r="AQ53" s="328">
        <f t="shared" si="17"/>
        <v>24.61133214719446</v>
      </c>
      <c r="AR53" s="328">
        <f t="shared" si="17"/>
        <v>50.067818454013803</v>
      </c>
      <c r="AS53" s="328">
        <f t="shared" si="17"/>
        <v>78.681513527837438</v>
      </c>
      <c r="AT53" s="328">
        <f t="shared" si="17"/>
        <v>110.95490792721702</v>
      </c>
      <c r="AU53" s="328">
        <f t="shared" si="17"/>
        <v>147.46108430041497</v>
      </c>
      <c r="AV53" s="328">
        <f t="shared" si="17"/>
        <v>308.45279677356876</v>
      </c>
      <c r="AW53" s="328">
        <f t="shared" si="17"/>
        <v>313.54540464547227</v>
      </c>
      <c r="AX53" s="328">
        <f t="shared" si="17"/>
        <v>318.96801757643192</v>
      </c>
      <c r="AY53" s="328">
        <f t="shared" si="17"/>
        <v>324.72727781766787</v>
      </c>
      <c r="AZ53" s="328">
        <f t="shared" si="17"/>
        <v>330.83018647882807</v>
      </c>
      <c r="BA53" s="328">
        <f t="shared" si="17"/>
        <v>314.62481731497496</v>
      </c>
      <c r="BB53" s="328">
        <f t="shared" si="17"/>
        <v>296.04463886270531</v>
      </c>
      <c r="BC53" s="328">
        <f t="shared" si="17"/>
        <v>274.68871639379495</v>
      </c>
      <c r="BD53" s="328">
        <f t="shared" si="17"/>
        <v>250.10070474456163</v>
      </c>
      <c r="BE53" s="328">
        <f t="shared" si="17"/>
        <v>221.76121026214815</v>
      </c>
      <c r="BF53" s="328">
        <f t="shared" si="17"/>
        <v>189.07911009548951</v>
      </c>
      <c r="BG53" s="328">
        <f t="shared" si="17"/>
        <v>151.38168657186333</v>
      </c>
      <c r="BH53" s="328">
        <f t="shared" si="17"/>
        <v>107.90341500059462</v>
      </c>
      <c r="BI53" s="328">
        <f t="shared" si="17"/>
        <v>57.773221200869266</v>
      </c>
      <c r="BJ53" s="598">
        <f t="shared" si="17"/>
        <v>0</v>
      </c>
      <c r="BL53" s="517"/>
    </row>
    <row r="54" spans="2:64" x14ac:dyDescent="0.25">
      <c r="B54" s="541"/>
      <c r="C54" s="545" t="s">
        <v>506</v>
      </c>
      <c r="D54" s="559"/>
      <c r="E54" s="560" t="s">
        <v>19</v>
      </c>
      <c r="F54" s="37">
        <f ca="1">SUM(F53:AE53)</f>
        <v>322.08267798255127</v>
      </c>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598"/>
      <c r="AG54" s="541"/>
      <c r="AH54" s="545" t="s">
        <v>506</v>
      </c>
      <c r="AI54" s="559"/>
      <c r="AJ54" s="560" t="s">
        <v>19</v>
      </c>
      <c r="AK54" s="37">
        <f>SUM(AK53:BJ53)</f>
        <v>3695.3958402403127</v>
      </c>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598"/>
      <c r="BL54" s="517"/>
    </row>
    <row r="55" spans="2:64" x14ac:dyDescent="0.25">
      <c r="B55" s="580" t="s">
        <v>507</v>
      </c>
      <c r="C55" s="537"/>
      <c r="D55" s="561"/>
      <c r="E55" s="551" t="s">
        <v>19</v>
      </c>
      <c r="F55" s="645">
        <f ca="1">NPV(F42,F53:AE53)</f>
        <v>135.39862669907765</v>
      </c>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434"/>
      <c r="AG55" s="580" t="s">
        <v>507</v>
      </c>
      <c r="AH55" s="537"/>
      <c r="AI55" s="561"/>
      <c r="AJ55" s="551" t="s">
        <v>19</v>
      </c>
      <c r="AK55" s="645">
        <f>NPV(AK42,AK53:BJ53)</f>
        <v>1424.1577414620078</v>
      </c>
      <c r="AL55" s="377"/>
      <c r="AM55" s="377"/>
      <c r="AN55" s="377"/>
      <c r="AO55" s="377"/>
      <c r="AP55" s="377"/>
      <c r="AQ55" s="377"/>
      <c r="AR55" s="377"/>
      <c r="AS55" s="377"/>
      <c r="AT55" s="377"/>
      <c r="AU55" s="377"/>
      <c r="AV55" s="377"/>
      <c r="AW55" s="377"/>
      <c r="AX55" s="377"/>
      <c r="AY55" s="377"/>
      <c r="AZ55" s="377"/>
      <c r="BA55" s="377"/>
      <c r="BB55" s="377"/>
      <c r="BC55" s="377"/>
      <c r="BD55" s="377"/>
      <c r="BE55" s="377"/>
      <c r="BF55" s="377"/>
      <c r="BG55" s="377"/>
      <c r="BH55" s="377"/>
      <c r="BI55" s="377"/>
      <c r="BJ55" s="434"/>
      <c r="BL55" s="517"/>
    </row>
    <row r="56" spans="2:64" x14ac:dyDescent="0.25">
      <c r="B56" s="580"/>
      <c r="C56" s="581" t="s">
        <v>508</v>
      </c>
      <c r="D56" s="561"/>
      <c r="E56" s="551" t="s">
        <v>19</v>
      </c>
      <c r="F56" s="645">
        <f ca="1">NPV(F42,F53:P53)</f>
        <v>13.646397762877701</v>
      </c>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434"/>
      <c r="AG56" s="580"/>
      <c r="AH56" s="581" t="s">
        <v>508</v>
      </c>
      <c r="AI56" s="561"/>
      <c r="AJ56" s="551" t="s">
        <v>19</v>
      </c>
      <c r="AK56" s="645">
        <f>NPV(AK42,AK53:AU53)</f>
        <v>89.218708551208834</v>
      </c>
      <c r="AL56" s="377"/>
      <c r="AM56" s="377"/>
      <c r="AN56" s="377"/>
      <c r="AO56" s="377"/>
      <c r="AP56" s="377"/>
      <c r="AQ56" s="377"/>
      <c r="AR56" s="377"/>
      <c r="AS56" s="377"/>
      <c r="AT56" s="377"/>
      <c r="AU56" s="377"/>
      <c r="AV56" s="377"/>
      <c r="AW56" s="377"/>
      <c r="AX56" s="377"/>
      <c r="AY56" s="377"/>
      <c r="AZ56" s="377"/>
      <c r="BA56" s="377"/>
      <c r="BB56" s="377"/>
      <c r="BC56" s="377"/>
      <c r="BD56" s="377"/>
      <c r="BE56" s="377"/>
      <c r="BF56" s="377"/>
      <c r="BG56" s="377"/>
      <c r="BH56" s="377"/>
      <c r="BI56" s="377"/>
      <c r="BJ56" s="434"/>
      <c r="BL56" s="517"/>
    </row>
    <row r="57" spans="2:64" x14ac:dyDescent="0.25">
      <c r="B57" s="582" t="s">
        <v>492</v>
      </c>
      <c r="C57" s="567"/>
      <c r="D57" s="568"/>
      <c r="E57" s="569" t="s">
        <v>19</v>
      </c>
      <c r="F57" s="180">
        <f>'CBA Sector'!E30</f>
        <v>184</v>
      </c>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600"/>
      <c r="AG57" s="582" t="s">
        <v>492</v>
      </c>
      <c r="AH57" s="567"/>
      <c r="AI57" s="568"/>
      <c r="AJ57" s="569" t="s">
        <v>19</v>
      </c>
      <c r="AK57" s="180">
        <f>'CBA Sector'!E36</f>
        <v>1448</v>
      </c>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599"/>
      <c r="BJ57" s="600"/>
    </row>
    <row r="58" spans="2:64" x14ac:dyDescent="0.25">
      <c r="B58" s="809" t="s">
        <v>419</v>
      </c>
      <c r="C58" s="810"/>
      <c r="D58" s="811"/>
      <c r="H58" s="512"/>
      <c r="AF58" s="513"/>
      <c r="AG58" s="788" t="s">
        <v>419</v>
      </c>
      <c r="AH58" s="789"/>
      <c r="AI58" s="790"/>
      <c r="AJ58" s="553"/>
      <c r="AK58" s="648"/>
      <c r="AL58" s="649"/>
      <c r="AM58" s="650"/>
      <c r="AN58" s="649"/>
      <c r="AO58" s="649"/>
      <c r="AP58" s="649"/>
      <c r="AQ58" s="649"/>
      <c r="AR58" s="649"/>
      <c r="AS58" s="649"/>
      <c r="AT58" s="649"/>
      <c r="AU58" s="649"/>
      <c r="AV58" s="649"/>
      <c r="AW58" s="649"/>
      <c r="AX58" s="649"/>
      <c r="AY58" s="649"/>
      <c r="AZ58" s="649"/>
      <c r="BA58" s="649"/>
      <c r="BB58" s="649"/>
      <c r="BC58" s="649"/>
      <c r="BD58" s="649"/>
      <c r="BE58" s="649"/>
      <c r="BF58" s="649"/>
      <c r="BG58" s="649"/>
      <c r="BH58" s="649"/>
      <c r="BI58" s="649"/>
      <c r="BJ58" s="649"/>
    </row>
    <row r="59" spans="2:64" x14ac:dyDescent="0.25">
      <c r="B59" s="554" t="s">
        <v>93</v>
      </c>
      <c r="C59" s="555"/>
      <c r="D59" s="587"/>
      <c r="E59" s="588" t="s">
        <v>7</v>
      </c>
      <c r="F59" s="586">
        <f>IF('CBA Sector'!E15=TRUE,('Utility Sector'!$E$17*'Utility Sector'!$E$18+'Utility Sector'!$E$19*'Utility Sector'!$E$20),'CBA Sector'!$E$18)</f>
        <v>5.8000000000000003E-2</v>
      </c>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90"/>
      <c r="AG59" s="554" t="s">
        <v>93</v>
      </c>
      <c r="AH59" s="555"/>
      <c r="AI59" s="587"/>
      <c r="AJ59" s="588" t="s">
        <v>7</v>
      </c>
      <c r="AK59" s="586">
        <f>IF('CBA Sector'!$E$15=TRUE,('Utility Sector'!$E$17*'Utility Sector'!$E$18+'Utility Sector'!$E$19*'Utility Sector'!$E$20),'CBA Sector'!$E$16)</f>
        <v>5.8000000000000003E-2</v>
      </c>
      <c r="AL59" s="651"/>
      <c r="AM59" s="651"/>
      <c r="AN59" s="651"/>
      <c r="AO59" s="651"/>
      <c r="AP59" s="651"/>
      <c r="AQ59" s="651"/>
      <c r="AR59" s="651"/>
      <c r="AS59" s="651"/>
      <c r="AT59" s="651"/>
      <c r="AU59" s="651"/>
      <c r="AV59" s="651"/>
      <c r="AW59" s="651"/>
      <c r="AX59" s="651"/>
      <c r="AY59" s="651"/>
      <c r="AZ59" s="651"/>
      <c r="BA59" s="651"/>
      <c r="BB59" s="651"/>
      <c r="BC59" s="651"/>
      <c r="BD59" s="651"/>
      <c r="BE59" s="651"/>
      <c r="BF59" s="651"/>
      <c r="BG59" s="651"/>
      <c r="BH59" s="651"/>
      <c r="BI59" s="651"/>
      <c r="BJ59" s="652"/>
    </row>
    <row r="60" spans="2:64" x14ac:dyDescent="0.25">
      <c r="B60" s="541" t="s">
        <v>418</v>
      </c>
      <c r="C60" s="545"/>
      <c r="D60" s="559"/>
      <c r="E60" s="560"/>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4"/>
      <c r="AG60" s="541" t="s">
        <v>418</v>
      </c>
      <c r="AH60" s="545"/>
      <c r="AI60" s="559"/>
      <c r="AJ60" s="560"/>
      <c r="AK60" s="328"/>
      <c r="AL60" s="328"/>
      <c r="AM60" s="328"/>
      <c r="AN60" s="328"/>
      <c r="AO60" s="328"/>
      <c r="AP60" s="328"/>
      <c r="AQ60" s="328"/>
      <c r="AR60" s="328"/>
      <c r="AS60" s="328"/>
      <c r="AT60" s="328"/>
      <c r="AU60" s="328"/>
      <c r="AV60" s="328"/>
      <c r="AW60" s="328"/>
      <c r="AX60" s="328"/>
      <c r="AY60" s="328"/>
      <c r="AZ60" s="328"/>
      <c r="BA60" s="328"/>
      <c r="BB60" s="328"/>
      <c r="BC60" s="328"/>
      <c r="BD60" s="328"/>
      <c r="BE60" s="328"/>
      <c r="BF60" s="328"/>
      <c r="BG60" s="328"/>
      <c r="BH60" s="328"/>
      <c r="BI60" s="328"/>
      <c r="BJ60" s="598"/>
    </row>
    <row r="61" spans="2:64" x14ac:dyDescent="0.25">
      <c r="B61" s="541"/>
      <c r="C61" s="537" t="s">
        <v>509</v>
      </c>
      <c r="D61" s="561"/>
      <c r="E61" s="551" t="s">
        <v>500</v>
      </c>
      <c r="F61" s="377">
        <f>SUM(F62:F63)+'CBA Sector'!E50</f>
        <v>0</v>
      </c>
      <c r="G61" s="377">
        <f>SUM(G62:G63)+'CBA Sector'!F50</f>
        <v>18.130471999999997</v>
      </c>
      <c r="H61" s="377">
        <f>SUM(H62:H63)+'CBA Sector'!G50</f>
        <v>18.679563270999999</v>
      </c>
      <c r="I61" s="377">
        <f>SUM(I62:I63)+'CBA Sector'!H50</f>
        <v>19.245396553402998</v>
      </c>
      <c r="J61" s="377">
        <f>SUM(J62:J63)+'CBA Sector'!I50</f>
        <v>19.828485749570177</v>
      </c>
      <c r="K61" s="377">
        <f>SUM(K62:K63)+'CBA Sector'!J50</f>
        <v>20.429360640288209</v>
      </c>
      <c r="L61" s="377">
        <f>SUM(L62:L63)+'CBA Sector'!K50</f>
        <v>21.048567378507439</v>
      </c>
      <c r="M61" s="377">
        <f>SUM(M62:M63)+'CBA Sector'!L50</f>
        <v>21.686668998526414</v>
      </c>
      <c r="N61" s="377">
        <f>SUM(N62:N63)+'CBA Sector'!M50</f>
        <v>22.344245941108806</v>
      </c>
      <c r="O61" s="377">
        <f>SUM(O62:O63)+'CBA Sector'!N50</f>
        <v>23.021896595034086</v>
      </c>
      <c r="P61" s="377">
        <f>SUM(P62:P63)+'CBA Sector'!O50</f>
        <v>23.720237855599223</v>
      </c>
      <c r="Q61" s="377">
        <f>SUM(Q62:Q63)+'CBA Sector'!P50</f>
        <v>0</v>
      </c>
      <c r="R61" s="377">
        <f>SUM(R62:R63)+'CBA Sector'!Q50</f>
        <v>0</v>
      </c>
      <c r="S61" s="377">
        <f>SUM(S62:S63)+'CBA Sector'!R50</f>
        <v>0</v>
      </c>
      <c r="T61" s="377">
        <f>SUM(T62:T63)+'CBA Sector'!S50</f>
        <v>0</v>
      </c>
      <c r="U61" s="377">
        <f>SUM(U62:U63)+'CBA Sector'!T50</f>
        <v>0</v>
      </c>
      <c r="V61" s="377">
        <f>SUM(V62:V63)+'CBA Sector'!U50</f>
        <v>0</v>
      </c>
      <c r="W61" s="377">
        <f>SUM(W62:W63)+'CBA Sector'!V50</f>
        <v>0</v>
      </c>
      <c r="X61" s="377">
        <f>SUM(X62:X63)+'CBA Sector'!W50</f>
        <v>0</v>
      </c>
      <c r="Y61" s="377">
        <f>SUM(Y62:Y63)+'CBA Sector'!X50</f>
        <v>0</v>
      </c>
      <c r="Z61" s="377">
        <f>SUM(Z62:Z63)+'CBA Sector'!Y50</f>
        <v>0</v>
      </c>
      <c r="AA61" s="377">
        <f>SUM(AA62:AA63)+'CBA Sector'!Z50</f>
        <v>0</v>
      </c>
      <c r="AB61" s="377">
        <f>SUM(AB62:AB63)+'CBA Sector'!AA50</f>
        <v>0</v>
      </c>
      <c r="AC61" s="377">
        <f>SUM(AC62:AC63)+'CBA Sector'!AB50</f>
        <v>0</v>
      </c>
      <c r="AD61" s="377">
        <f>SUM(AD62:AD63)+'CBA Sector'!AC50</f>
        <v>0</v>
      </c>
      <c r="AE61" s="434">
        <f>SUM(AE62:AE63)+'CBA Sector'!AD50</f>
        <v>0</v>
      </c>
      <c r="AG61" s="541"/>
      <c r="AH61" s="537" t="s">
        <v>509</v>
      </c>
      <c r="AI61" s="561"/>
      <c r="AJ61" s="551" t="s">
        <v>500</v>
      </c>
      <c r="AK61" s="377">
        <f>SUM(AK62:AK63)+'CBA Sector'!E64</f>
        <v>0</v>
      </c>
      <c r="AL61" s="377">
        <f>SUM(AL62:AL63)+'CBA Sector'!F64</f>
        <v>19.200527000000001</v>
      </c>
      <c r="AM61" s="377">
        <f>SUM(AM62:AM63)+'CBA Sector'!G64</f>
        <v>19.796126188999999</v>
      </c>
      <c r="AN61" s="377">
        <f>SUM(AN62:AN63)+'CBA Sector'!H64</f>
        <v>20.410393975096998</v>
      </c>
      <c r="AO61" s="377">
        <f>SUM(AO62:AO63)+'CBA Sector'!I64</f>
        <v>21.043922011548986</v>
      </c>
      <c r="AP61" s="377">
        <f>SUM(AP62:AP63)+'CBA Sector'!J64</f>
        <v>21.697320919060353</v>
      </c>
      <c r="AQ61" s="377">
        <f>SUM(AQ62:AQ63)+'CBA Sector'!K64</f>
        <v>22.3712209009799</v>
      </c>
      <c r="AR61" s="377">
        <f>SUM(AR62:AR63)+'CBA Sector'!L64</f>
        <v>23.066272378684719</v>
      </c>
      <c r="AS61" s="377">
        <f>SUM(AS62:AS63)+'CBA Sector'!M64</f>
        <v>23.783146647819727</v>
      </c>
      <c r="AT61" s="377">
        <f>SUM(AT62:AT63)+'CBA Sector'!N64</f>
        <v>24.522536556085168</v>
      </c>
      <c r="AU61" s="377">
        <f>SUM(AU62:AU63)+'CBA Sector'!O64</f>
        <v>25.285157203287536</v>
      </c>
      <c r="AV61" s="377">
        <f>SUM(AV62:AV63)+'CBA Sector'!P64</f>
        <v>0</v>
      </c>
      <c r="AW61" s="377">
        <f>SUM(AW62:AW63)+'CBA Sector'!Q64</f>
        <v>0</v>
      </c>
      <c r="AX61" s="377">
        <f>SUM(AX62:AX63)+'CBA Sector'!R64</f>
        <v>0</v>
      </c>
      <c r="AY61" s="377">
        <f>SUM(AY62:AY63)+'CBA Sector'!S64</f>
        <v>0</v>
      </c>
      <c r="AZ61" s="377">
        <f>SUM(AZ62:AZ63)+'CBA Sector'!T64</f>
        <v>0</v>
      </c>
      <c r="BA61" s="377">
        <f>SUM(BA62:BA63)+'CBA Sector'!U64</f>
        <v>0</v>
      </c>
      <c r="BB61" s="377">
        <f>SUM(BB62:BB63)+'CBA Sector'!V64</f>
        <v>0</v>
      </c>
      <c r="BC61" s="377">
        <f>SUM(BC62:BC63)+'CBA Sector'!W64</f>
        <v>0</v>
      </c>
      <c r="BD61" s="377">
        <f>SUM(BD62:BD63)+'CBA Sector'!X64</f>
        <v>0</v>
      </c>
      <c r="BE61" s="377">
        <f>SUM(BE62:BE63)+'CBA Sector'!Y64</f>
        <v>0</v>
      </c>
      <c r="BF61" s="377">
        <f>SUM(BF62:BF63)+'CBA Sector'!Z64</f>
        <v>0</v>
      </c>
      <c r="BG61" s="377">
        <f>SUM(BG62:BG63)+'CBA Sector'!AA64</f>
        <v>0</v>
      </c>
      <c r="BH61" s="377">
        <f>SUM(BH62:BH63)+'CBA Sector'!AB64</f>
        <v>0</v>
      </c>
      <c r="BI61" s="377">
        <f>SUM(BI62:BI63)+'CBA Sector'!AC64</f>
        <v>0</v>
      </c>
      <c r="BJ61" s="377">
        <f>SUM(BJ62:BJ63)+'CBA Sector'!AD64</f>
        <v>0</v>
      </c>
    </row>
    <row r="62" spans="2:64" x14ac:dyDescent="0.25">
      <c r="B62" s="541"/>
      <c r="C62" s="537"/>
      <c r="D62" s="561" t="s">
        <v>518</v>
      </c>
      <c r="E62" s="551" t="s">
        <v>19</v>
      </c>
      <c r="F62" s="645">
        <f>F5/1000000</f>
        <v>0</v>
      </c>
      <c r="G62" s="645">
        <f t="shared" ref="G62:AE62" si="18">G5/1000000</f>
        <v>9.8428609999999992</v>
      </c>
      <c r="H62" s="645">
        <f t="shared" si="18"/>
        <v>10.118461108000002</v>
      </c>
      <c r="I62" s="645">
        <f t="shared" si="18"/>
        <v>10.401778019024002</v>
      </c>
      <c r="J62" s="645">
        <f t="shared" si="18"/>
        <v>10.693027803556673</v>
      </c>
      <c r="K62" s="645">
        <f t="shared" si="18"/>
        <v>10.99243258205626</v>
      </c>
      <c r="L62" s="645">
        <f t="shared" si="18"/>
        <v>11.300220694353836</v>
      </c>
      <c r="M62" s="645">
        <f t="shared" si="18"/>
        <v>11.616626873795743</v>
      </c>
      <c r="N62" s="645">
        <f t="shared" si="18"/>
        <v>11.941892426262024</v>
      </c>
      <c r="O62" s="645">
        <f t="shared" si="18"/>
        <v>12.276265414197361</v>
      </c>
      <c r="P62" s="645">
        <f t="shared" si="18"/>
        <v>12.620000845794888</v>
      </c>
      <c r="Q62" s="645">
        <f t="shared" si="18"/>
        <v>0</v>
      </c>
      <c r="R62" s="645">
        <f t="shared" si="18"/>
        <v>0</v>
      </c>
      <c r="S62" s="645">
        <f t="shared" si="18"/>
        <v>0</v>
      </c>
      <c r="T62" s="645">
        <f t="shared" si="18"/>
        <v>0</v>
      </c>
      <c r="U62" s="645">
        <f t="shared" si="18"/>
        <v>0</v>
      </c>
      <c r="V62" s="645">
        <f t="shared" si="18"/>
        <v>0</v>
      </c>
      <c r="W62" s="645">
        <f t="shared" si="18"/>
        <v>0</v>
      </c>
      <c r="X62" s="645">
        <f t="shared" si="18"/>
        <v>0</v>
      </c>
      <c r="Y62" s="645">
        <f t="shared" si="18"/>
        <v>0</v>
      </c>
      <c r="Z62" s="645">
        <f t="shared" si="18"/>
        <v>0</v>
      </c>
      <c r="AA62" s="645">
        <f t="shared" si="18"/>
        <v>0</v>
      </c>
      <c r="AB62" s="645">
        <f t="shared" si="18"/>
        <v>0</v>
      </c>
      <c r="AC62" s="645">
        <f t="shared" si="18"/>
        <v>0</v>
      </c>
      <c r="AD62" s="645">
        <f t="shared" si="18"/>
        <v>0</v>
      </c>
      <c r="AE62" s="645">
        <f t="shared" si="18"/>
        <v>0</v>
      </c>
      <c r="AF62" s="517"/>
      <c r="AG62" s="541"/>
      <c r="AH62" s="537"/>
      <c r="AI62" s="561" t="s">
        <v>518</v>
      </c>
      <c r="AJ62" s="551" t="s">
        <v>19</v>
      </c>
      <c r="AK62" s="112">
        <f>AK27</f>
        <v>0</v>
      </c>
      <c r="AL62" s="112">
        <f t="shared" ref="AL62:BJ62" si="19">AL5/1000000</f>
        <v>5.5405579999999999</v>
      </c>
      <c r="AM62" s="112">
        <f t="shared" si="19"/>
        <v>5.7400180880000002</v>
      </c>
      <c r="AN62" s="112">
        <f t="shared" si="19"/>
        <v>5.9466587391680008</v>
      </c>
      <c r="AO62" s="112">
        <f t="shared" si="19"/>
        <v>6.1607384537780492</v>
      </c>
      <c r="AP62" s="112">
        <f t="shared" si="19"/>
        <v>6.3825250381140588</v>
      </c>
      <c r="AQ62" s="112">
        <f t="shared" si="19"/>
        <v>6.6122959394861658</v>
      </c>
      <c r="AR62" s="112">
        <f t="shared" si="19"/>
        <v>6.8503385933076677</v>
      </c>
      <c r="AS62" s="112">
        <f t="shared" si="19"/>
        <v>7.0969507826667435</v>
      </c>
      <c r="AT62" s="112">
        <f t="shared" si="19"/>
        <v>7.3524410108427469</v>
      </c>
      <c r="AU62" s="112">
        <f t="shared" si="19"/>
        <v>7.6171288872330862</v>
      </c>
      <c r="AV62" s="112">
        <f t="shared" si="19"/>
        <v>0</v>
      </c>
      <c r="AW62" s="112">
        <f t="shared" si="19"/>
        <v>0</v>
      </c>
      <c r="AX62" s="112">
        <f t="shared" si="19"/>
        <v>0</v>
      </c>
      <c r="AY62" s="112">
        <f t="shared" si="19"/>
        <v>0</v>
      </c>
      <c r="AZ62" s="112">
        <f t="shared" si="19"/>
        <v>0</v>
      </c>
      <c r="BA62" s="112">
        <f t="shared" si="19"/>
        <v>0</v>
      </c>
      <c r="BB62" s="112">
        <f t="shared" si="19"/>
        <v>0</v>
      </c>
      <c r="BC62" s="112">
        <f t="shared" si="19"/>
        <v>0</v>
      </c>
      <c r="BD62" s="112">
        <f t="shared" si="19"/>
        <v>0</v>
      </c>
      <c r="BE62" s="112">
        <f t="shared" si="19"/>
        <v>0</v>
      </c>
      <c r="BF62" s="112">
        <f t="shared" si="19"/>
        <v>0</v>
      </c>
      <c r="BG62" s="112">
        <f t="shared" si="19"/>
        <v>0</v>
      </c>
      <c r="BH62" s="112">
        <f t="shared" si="19"/>
        <v>0</v>
      </c>
      <c r="BI62" s="112">
        <f t="shared" si="19"/>
        <v>0</v>
      </c>
      <c r="BJ62" s="113">
        <f t="shared" si="19"/>
        <v>0</v>
      </c>
    </row>
    <row r="63" spans="2:64" x14ac:dyDescent="0.25">
      <c r="B63" s="541"/>
      <c r="C63" s="537"/>
      <c r="D63" s="561" t="s">
        <v>519</v>
      </c>
      <c r="E63" s="551" t="s">
        <v>19</v>
      </c>
      <c r="F63" s="645">
        <f>F6/1000000</f>
        <v>0</v>
      </c>
      <c r="G63" s="645">
        <f t="shared" ref="G63:AE63" si="20">G6/1000000</f>
        <v>8.2876110000000001</v>
      </c>
      <c r="H63" s="645">
        <f t="shared" si="20"/>
        <v>8.5611021629999993</v>
      </c>
      <c r="I63" s="645">
        <f t="shared" si="20"/>
        <v>8.8436185343789973</v>
      </c>
      <c r="J63" s="645">
        <f t="shared" si="20"/>
        <v>9.1354579460135046</v>
      </c>
      <c r="K63" s="645">
        <f t="shared" si="20"/>
        <v>9.436928058231949</v>
      </c>
      <c r="L63" s="645">
        <f t="shared" si="20"/>
        <v>9.7483466841536028</v>
      </c>
      <c r="M63" s="645">
        <f t="shared" si="20"/>
        <v>10.070042124730671</v>
      </c>
      <c r="N63" s="645">
        <f t="shared" si="20"/>
        <v>10.402353514846782</v>
      </c>
      <c r="O63" s="645">
        <f t="shared" si="20"/>
        <v>10.745631180836725</v>
      </c>
      <c r="P63" s="645">
        <f t="shared" si="20"/>
        <v>11.100237009804335</v>
      </c>
      <c r="Q63" s="645">
        <f t="shared" si="20"/>
        <v>0</v>
      </c>
      <c r="R63" s="645">
        <f t="shared" si="20"/>
        <v>0</v>
      </c>
      <c r="S63" s="645">
        <f t="shared" si="20"/>
        <v>0</v>
      </c>
      <c r="T63" s="645">
        <f t="shared" si="20"/>
        <v>0</v>
      </c>
      <c r="U63" s="645">
        <f t="shared" si="20"/>
        <v>0</v>
      </c>
      <c r="V63" s="645">
        <f t="shared" si="20"/>
        <v>0</v>
      </c>
      <c r="W63" s="645">
        <f t="shared" si="20"/>
        <v>0</v>
      </c>
      <c r="X63" s="645">
        <f t="shared" si="20"/>
        <v>0</v>
      </c>
      <c r="Y63" s="645">
        <f t="shared" si="20"/>
        <v>0</v>
      </c>
      <c r="Z63" s="645">
        <f t="shared" si="20"/>
        <v>0</v>
      </c>
      <c r="AA63" s="645">
        <f t="shared" si="20"/>
        <v>0</v>
      </c>
      <c r="AB63" s="645">
        <f t="shared" si="20"/>
        <v>0</v>
      </c>
      <c r="AC63" s="645">
        <f t="shared" si="20"/>
        <v>0</v>
      </c>
      <c r="AD63" s="645">
        <f t="shared" si="20"/>
        <v>0</v>
      </c>
      <c r="AE63" s="645">
        <f t="shared" si="20"/>
        <v>0</v>
      </c>
      <c r="AF63" s="517"/>
      <c r="AG63" s="541"/>
      <c r="AH63" s="537"/>
      <c r="AI63" s="561" t="s">
        <v>519</v>
      </c>
      <c r="AJ63" s="551" t="s">
        <v>19</v>
      </c>
      <c r="AK63" s="112">
        <f>AK28</f>
        <v>0</v>
      </c>
      <c r="AL63" s="112">
        <f t="shared" ref="AL63:BJ63" si="21">AL28</f>
        <v>13.659969</v>
      </c>
      <c r="AM63" s="112">
        <f t="shared" si="21"/>
        <v>14.056108100999998</v>
      </c>
      <c r="AN63" s="112">
        <f t="shared" si="21"/>
        <v>14.463735235928997</v>
      </c>
      <c r="AO63" s="112">
        <f t="shared" si="21"/>
        <v>14.883183557770938</v>
      </c>
      <c r="AP63" s="112">
        <f t="shared" si="21"/>
        <v>15.314795880946294</v>
      </c>
      <c r="AQ63" s="112">
        <f t="shared" si="21"/>
        <v>15.758924961493735</v>
      </c>
      <c r="AR63" s="112">
        <f t="shared" si="21"/>
        <v>16.21593378537705</v>
      </c>
      <c r="AS63" s="112">
        <f t="shared" si="21"/>
        <v>16.686195865152985</v>
      </c>
      <c r="AT63" s="112">
        <f t="shared" si="21"/>
        <v>17.170095545242422</v>
      </c>
      <c r="AU63" s="112">
        <f t="shared" si="21"/>
        <v>17.66802831605445</v>
      </c>
      <c r="AV63" s="112">
        <f t="shared" si="21"/>
        <v>0</v>
      </c>
      <c r="AW63" s="112">
        <f t="shared" si="21"/>
        <v>0</v>
      </c>
      <c r="AX63" s="112">
        <f t="shared" si="21"/>
        <v>0</v>
      </c>
      <c r="AY63" s="112">
        <f t="shared" si="21"/>
        <v>0</v>
      </c>
      <c r="AZ63" s="112">
        <f t="shared" si="21"/>
        <v>0</v>
      </c>
      <c r="BA63" s="112">
        <f t="shared" si="21"/>
        <v>0</v>
      </c>
      <c r="BB63" s="112">
        <f t="shared" si="21"/>
        <v>0</v>
      </c>
      <c r="BC63" s="112">
        <f t="shared" si="21"/>
        <v>0</v>
      </c>
      <c r="BD63" s="112">
        <f t="shared" si="21"/>
        <v>0</v>
      </c>
      <c r="BE63" s="112">
        <f t="shared" si="21"/>
        <v>0</v>
      </c>
      <c r="BF63" s="112">
        <f t="shared" si="21"/>
        <v>0</v>
      </c>
      <c r="BG63" s="112">
        <f t="shared" si="21"/>
        <v>0</v>
      </c>
      <c r="BH63" s="112">
        <f t="shared" si="21"/>
        <v>0</v>
      </c>
      <c r="BI63" s="112">
        <f t="shared" si="21"/>
        <v>0</v>
      </c>
      <c r="BJ63" s="113">
        <f t="shared" si="21"/>
        <v>0</v>
      </c>
    </row>
    <row r="64" spans="2:64" x14ac:dyDescent="0.25">
      <c r="B64" s="592"/>
      <c r="C64" s="559" t="s">
        <v>417</v>
      </c>
      <c r="D64" s="559"/>
      <c r="E64" s="560" t="s">
        <v>19</v>
      </c>
      <c r="F64" s="646">
        <f>SUM(F61:AE61)</f>
        <v>208.13489498303738</v>
      </c>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598"/>
      <c r="AG64" s="592"/>
      <c r="AH64" s="559" t="s">
        <v>417</v>
      </c>
      <c r="AI64" s="559"/>
      <c r="AJ64" s="560" t="s">
        <v>19</v>
      </c>
      <c r="AK64" s="37">
        <f>SUM(AK61:BJ61)</f>
        <v>221.17662378156336</v>
      </c>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598"/>
    </row>
    <row r="65" spans="2:64" x14ac:dyDescent="0.25">
      <c r="B65" s="539" t="s">
        <v>416</v>
      </c>
      <c r="C65" s="537"/>
      <c r="D65" s="561"/>
      <c r="E65" s="551"/>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434"/>
      <c r="AF65" s="516"/>
      <c r="AG65" s="539" t="s">
        <v>416</v>
      </c>
      <c r="AH65" s="537"/>
      <c r="AI65" s="561"/>
      <c r="AJ65" s="551"/>
      <c r="AK65" s="377"/>
      <c r="AL65" s="377"/>
      <c r="AM65" s="377"/>
      <c r="AN65" s="377"/>
      <c r="AO65" s="377"/>
      <c r="AP65" s="377"/>
      <c r="AQ65" s="377"/>
      <c r="AR65" s="377"/>
      <c r="AS65" s="377"/>
      <c r="AT65" s="377"/>
      <c r="AU65" s="377"/>
      <c r="AV65" s="377"/>
      <c r="AW65" s="377"/>
      <c r="AX65" s="377"/>
      <c r="AY65" s="377"/>
      <c r="AZ65" s="377"/>
      <c r="BA65" s="377"/>
      <c r="BB65" s="377"/>
      <c r="BC65" s="377"/>
      <c r="BD65" s="377"/>
      <c r="BE65" s="377"/>
      <c r="BF65" s="377"/>
      <c r="BG65" s="377"/>
      <c r="BH65" s="377"/>
      <c r="BI65" s="377"/>
      <c r="BJ65" s="434"/>
    </row>
    <row r="66" spans="2:64" x14ac:dyDescent="0.25">
      <c r="B66" s="539"/>
      <c r="C66" s="545" t="s">
        <v>415</v>
      </c>
      <c r="D66" s="559"/>
      <c r="E66" s="560" t="s">
        <v>19</v>
      </c>
      <c r="F66" s="328">
        <f>F67+'CBA Sector'!E51</f>
        <v>0</v>
      </c>
      <c r="G66" s="328">
        <f>G67+'CBA Sector'!F51</f>
        <v>4.12950988464</v>
      </c>
      <c r="H66" s="328">
        <f ca="1">H67+'CBA Sector'!G51</f>
        <v>8.4772548409796595</v>
      </c>
      <c r="I66" s="328">
        <f ca="1">I67+'CBA Sector'!H51</f>
        <v>13.066660072685256</v>
      </c>
      <c r="J66" s="328">
        <f ca="1">J67+'CBA Sector'!I51</f>
        <v>17.922861293836444</v>
      </c>
      <c r="K66" s="328">
        <f ca="1">K67+'CBA Sector'!J51</f>
        <v>23.072839291510999</v>
      </c>
      <c r="L66" s="328">
        <f ca="1">L67+'CBA Sector'!K51</f>
        <v>28.545564522778914</v>
      </c>
      <c r="M66" s="328">
        <f ca="1">M67+'CBA Sector'!L51</f>
        <v>34.372152501427664</v>
      </c>
      <c r="N66" s="328">
        <f ca="1">N67+'CBA Sector'!M51</f>
        <v>40.58603078610723</v>
      </c>
      <c r="O66" s="328">
        <f ca="1">O67+'CBA Sector'!N51</f>
        <v>47.223118442162416</v>
      </c>
      <c r="P66" s="328">
        <f ca="1">P67+'CBA Sector'!O51</f>
        <v>54.322018914523305</v>
      </c>
      <c r="Q66" s="328">
        <f ca="1">Q67+'CBA Sector'!P51</f>
        <v>50.547128782292631</v>
      </c>
      <c r="R66" s="328">
        <f ca="1">R67+'CBA Sector'!Q51</f>
        <v>46.498055878440084</v>
      </c>
      <c r="S66" s="328">
        <f ca="1">S67+'CBA Sector'!R51</f>
        <v>42.144038005059244</v>
      </c>
      <c r="T66" s="328">
        <f ca="1">T67+'CBA Sector'!S51</f>
        <v>37.451962788065913</v>
      </c>
      <c r="U66" s="328">
        <f ca="1">U67+'CBA Sector'!T51</f>
        <v>32.386181847169269</v>
      </c>
      <c r="V66" s="328">
        <f ca="1">V67+'CBA Sector'!U51</f>
        <v>26.908310999005032</v>
      </c>
      <c r="W66" s="328">
        <f ca="1">W67+'CBA Sector'!V51</f>
        <v>20.977015440760638</v>
      </c>
      <c r="X66" s="328">
        <f ca="1">X67+'CBA Sector'!W51</f>
        <v>14.547778782950255</v>
      </c>
      <c r="Y66" s="328">
        <f ca="1">Y67+'CBA Sector'!X51</f>
        <v>7.5726547154457142</v>
      </c>
      <c r="Z66" s="328">
        <f>Z67+'CBA Sector'!Y51</f>
        <v>0</v>
      </c>
      <c r="AA66" s="328">
        <f>AA67+'CBA Sector'!Z51</f>
        <v>0</v>
      </c>
      <c r="AB66" s="328">
        <f>AB67+'CBA Sector'!AA51</f>
        <v>0</v>
      </c>
      <c r="AC66" s="328">
        <f>AC67+'CBA Sector'!AB51</f>
        <v>0</v>
      </c>
      <c r="AD66" s="328">
        <f>AD67+'CBA Sector'!AC51</f>
        <v>0</v>
      </c>
      <c r="AE66" s="598">
        <f>AE67+'CBA Sector'!AD51</f>
        <v>0</v>
      </c>
      <c r="AF66" s="516"/>
      <c r="AG66" s="539"/>
      <c r="AH66" s="545" t="s">
        <v>415</v>
      </c>
      <c r="AI66" s="559"/>
      <c r="AJ66" s="560" t="s">
        <v>19</v>
      </c>
      <c r="AK66" s="328">
        <f>AK67+'CBA Sector'!E65</f>
        <v>0</v>
      </c>
      <c r="AL66" s="328">
        <f>AL67+'CBA Sector'!F65</f>
        <v>19.47715506398</v>
      </c>
      <c r="AM66" s="328">
        <f>AM67+'CBA Sector'!G65</f>
        <v>40.517513808151037</v>
      </c>
      <c r="AN66" s="328">
        <f>AN67+'CBA Sector'!H65</f>
        <v>63.372551477755728</v>
      </c>
      <c r="AO66" s="328">
        <f>AO67+'CBA Sector'!I65</f>
        <v>88.327454457909568</v>
      </c>
      <c r="AP66" s="328">
        <f>AP67+'CBA Sector'!J65</f>
        <v>115.70575619277597</v>
      </c>
      <c r="AQ66" s="328">
        <f>AQ67+'CBA Sector'!K65</f>
        <v>145.87460490664938</v>
      </c>
      <c r="AR66" s="328">
        <f>AR67+'CBA Sector'!L65</f>
        <v>179.25074931422813</v>
      </c>
      <c r="AS66" s="328">
        <f>AS67+'CBA Sector'!M65</f>
        <v>216.30734025929357</v>
      </c>
      <c r="AT66" s="328">
        <f>AT67+'CBA Sector'!N65</f>
        <v>257.58165957541803</v>
      </c>
      <c r="AU66" s="328">
        <f>AU67+'CBA Sector'!O65</f>
        <v>303.68390263770937</v>
      </c>
      <c r="AV66" s="328">
        <f>AV67+'CBA Sector'!P65</f>
        <v>308.45279677356876</v>
      </c>
      <c r="AW66" s="328">
        <f>AW67+'CBA Sector'!Q65</f>
        <v>313.54540464547227</v>
      </c>
      <c r="AX66" s="328">
        <f>AX67+'CBA Sector'!R65</f>
        <v>318.96801757643192</v>
      </c>
      <c r="AY66" s="328">
        <f>AY67+'CBA Sector'!S65</f>
        <v>324.72727781766787</v>
      </c>
      <c r="AZ66" s="328">
        <f>AZ67+'CBA Sector'!T65</f>
        <v>330.83018647882807</v>
      </c>
      <c r="BA66" s="328">
        <f>BA67+'CBA Sector'!U65</f>
        <v>314.62481731497496</v>
      </c>
      <c r="BB66" s="328">
        <f>BB67+'CBA Sector'!V65</f>
        <v>296.04463886270531</v>
      </c>
      <c r="BC66" s="328">
        <f>BC67+'CBA Sector'!W65</f>
        <v>274.68871639379495</v>
      </c>
      <c r="BD66" s="328">
        <f>BD67+'CBA Sector'!X65</f>
        <v>250.10070474456163</v>
      </c>
      <c r="BE66" s="328">
        <f>BE67+'CBA Sector'!Y65</f>
        <v>221.76121026214815</v>
      </c>
      <c r="BF66" s="328">
        <f>BF67+'CBA Sector'!Z65</f>
        <v>189.07911009548951</v>
      </c>
      <c r="BG66" s="328">
        <f>BG67+'CBA Sector'!AA65</f>
        <v>151.38168657186333</v>
      </c>
      <c r="BH66" s="328">
        <f>BH67+'CBA Sector'!AB65</f>
        <v>107.90341500059462</v>
      </c>
      <c r="BI66" s="328">
        <f>BI67+'CBA Sector'!AC65</f>
        <v>57.773221200869266</v>
      </c>
      <c r="BJ66" s="328">
        <f>BJ67+'CBA Sector'!AD65</f>
        <v>0</v>
      </c>
    </row>
    <row r="67" spans="2:64" x14ac:dyDescent="0.25">
      <c r="B67" s="539"/>
      <c r="C67" s="545"/>
      <c r="D67" s="559" t="s">
        <v>520</v>
      </c>
      <c r="E67" s="560" t="s">
        <v>19</v>
      </c>
      <c r="F67" s="328">
        <f>F8/1000000</f>
        <v>0</v>
      </c>
      <c r="G67" s="328">
        <f>G8/1000000</f>
        <v>4.12950988464</v>
      </c>
      <c r="H67" s="328">
        <f t="shared" ref="H67:AE67" ca="1" si="22">H8/1000000</f>
        <v>8.4772548409796595</v>
      </c>
      <c r="I67" s="328">
        <f t="shared" ca="1" si="22"/>
        <v>13.066660072685256</v>
      </c>
      <c r="J67" s="328">
        <f t="shared" ca="1" si="22"/>
        <v>17.922861293836444</v>
      </c>
      <c r="K67" s="328">
        <f t="shared" ca="1" si="22"/>
        <v>23.072839291510999</v>
      </c>
      <c r="L67" s="328">
        <f t="shared" ca="1" si="22"/>
        <v>28.545564522778914</v>
      </c>
      <c r="M67" s="328">
        <f t="shared" ca="1" si="22"/>
        <v>34.372152501427664</v>
      </c>
      <c r="N67" s="328">
        <f t="shared" ca="1" si="22"/>
        <v>40.58603078610723</v>
      </c>
      <c r="O67" s="328">
        <f t="shared" ca="1" si="22"/>
        <v>47.223118442162416</v>
      </c>
      <c r="P67" s="328">
        <f t="shared" ca="1" si="22"/>
        <v>54.322018914523305</v>
      </c>
      <c r="Q67" s="328">
        <f t="shared" ca="1" si="22"/>
        <v>50.547128782292631</v>
      </c>
      <c r="R67" s="328">
        <f t="shared" ca="1" si="22"/>
        <v>46.498055878440084</v>
      </c>
      <c r="S67" s="328">
        <f t="shared" ca="1" si="22"/>
        <v>42.144038005059244</v>
      </c>
      <c r="T67" s="328">
        <f t="shared" ca="1" si="22"/>
        <v>37.451962788065913</v>
      </c>
      <c r="U67" s="328">
        <f t="shared" ca="1" si="22"/>
        <v>32.386181847169269</v>
      </c>
      <c r="V67" s="328">
        <f t="shared" ca="1" si="22"/>
        <v>26.908310999005032</v>
      </c>
      <c r="W67" s="328">
        <f t="shared" ca="1" si="22"/>
        <v>20.977015440760638</v>
      </c>
      <c r="X67" s="328">
        <f t="shared" ca="1" si="22"/>
        <v>14.547778782950255</v>
      </c>
      <c r="Y67" s="328">
        <f t="shared" ca="1" si="22"/>
        <v>7.5726547154457142</v>
      </c>
      <c r="Z67" s="328">
        <f t="shared" si="22"/>
        <v>0</v>
      </c>
      <c r="AA67" s="328">
        <f t="shared" si="22"/>
        <v>0</v>
      </c>
      <c r="AB67" s="328">
        <f t="shared" si="22"/>
        <v>0</v>
      </c>
      <c r="AC67" s="328">
        <f t="shared" si="22"/>
        <v>0</v>
      </c>
      <c r="AD67" s="328">
        <f t="shared" si="22"/>
        <v>0</v>
      </c>
      <c r="AE67" s="328">
        <f t="shared" si="22"/>
        <v>0</v>
      </c>
      <c r="AF67" s="516"/>
      <c r="AG67" s="539"/>
      <c r="AH67" s="545"/>
      <c r="AI67" s="559" t="s">
        <v>520</v>
      </c>
      <c r="AJ67" s="560" t="s">
        <v>19</v>
      </c>
      <c r="AK67" s="328">
        <f t="shared" ref="AK67:BJ67" si="23">AK33</f>
        <v>0</v>
      </c>
      <c r="AL67" s="328">
        <f t="shared" si="23"/>
        <v>19.47715506398</v>
      </c>
      <c r="AM67" s="328">
        <f t="shared" si="23"/>
        <v>40.517513808151037</v>
      </c>
      <c r="AN67" s="328">
        <f t="shared" si="23"/>
        <v>63.372551477755728</v>
      </c>
      <c r="AO67" s="328">
        <f t="shared" si="23"/>
        <v>88.327454457909568</v>
      </c>
      <c r="AP67" s="328">
        <f t="shared" si="23"/>
        <v>115.70575619277597</v>
      </c>
      <c r="AQ67" s="328">
        <f t="shared" si="23"/>
        <v>145.87460490664938</v>
      </c>
      <c r="AR67" s="328">
        <f t="shared" si="23"/>
        <v>179.25074931422813</v>
      </c>
      <c r="AS67" s="328">
        <f t="shared" si="23"/>
        <v>216.30734025929357</v>
      </c>
      <c r="AT67" s="328">
        <f t="shared" si="23"/>
        <v>257.58165957541803</v>
      </c>
      <c r="AU67" s="328">
        <f t="shared" si="23"/>
        <v>303.68390263770937</v>
      </c>
      <c r="AV67" s="328">
        <f t="shared" si="23"/>
        <v>308.45279677356876</v>
      </c>
      <c r="AW67" s="328">
        <f t="shared" si="23"/>
        <v>313.54540464547227</v>
      </c>
      <c r="AX67" s="328">
        <f t="shared" si="23"/>
        <v>318.96801757643192</v>
      </c>
      <c r="AY67" s="328">
        <f t="shared" si="23"/>
        <v>324.72727781766787</v>
      </c>
      <c r="AZ67" s="328">
        <f t="shared" si="23"/>
        <v>330.83018647882807</v>
      </c>
      <c r="BA67" s="328">
        <f t="shared" si="23"/>
        <v>314.62481731497496</v>
      </c>
      <c r="BB67" s="328">
        <f t="shared" si="23"/>
        <v>296.04463886270531</v>
      </c>
      <c r="BC67" s="328">
        <f t="shared" si="23"/>
        <v>274.68871639379495</v>
      </c>
      <c r="BD67" s="328">
        <f t="shared" si="23"/>
        <v>250.10070474456163</v>
      </c>
      <c r="BE67" s="328">
        <f t="shared" si="23"/>
        <v>221.76121026214815</v>
      </c>
      <c r="BF67" s="328">
        <f t="shared" si="23"/>
        <v>189.07911009548951</v>
      </c>
      <c r="BG67" s="328">
        <f t="shared" si="23"/>
        <v>151.38168657186333</v>
      </c>
      <c r="BH67" s="328">
        <f t="shared" si="23"/>
        <v>107.90341500059462</v>
      </c>
      <c r="BI67" s="328">
        <f t="shared" si="23"/>
        <v>57.773221200869266</v>
      </c>
      <c r="BJ67" s="598">
        <f t="shared" si="23"/>
        <v>0</v>
      </c>
    </row>
    <row r="68" spans="2:64" x14ac:dyDescent="0.25">
      <c r="B68" s="574"/>
      <c r="C68" s="561" t="s">
        <v>415</v>
      </c>
      <c r="D68" s="561"/>
      <c r="E68" s="551" t="s">
        <v>19</v>
      </c>
      <c r="F68" s="645">
        <f ca="1">SUM(F66:AE66)</f>
        <v>550.75113778984064</v>
      </c>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434"/>
      <c r="AG68" s="574"/>
      <c r="AH68" s="561" t="s">
        <v>415</v>
      </c>
      <c r="AI68" s="561"/>
      <c r="AJ68" s="551" t="s">
        <v>19</v>
      </c>
      <c r="AK68" s="112">
        <f>SUM(AK66:BJ66)</f>
        <v>4889.9798914328412</v>
      </c>
      <c r="AL68" s="377"/>
      <c r="AM68" s="377"/>
      <c r="AN68" s="377"/>
      <c r="AO68" s="377"/>
      <c r="AP68" s="377"/>
      <c r="AQ68" s="377"/>
      <c r="AR68" s="377"/>
      <c r="AS68" s="377"/>
      <c r="AT68" s="377"/>
      <c r="AU68" s="377"/>
      <c r="AV68" s="377"/>
      <c r="AW68" s="377"/>
      <c r="AX68" s="377"/>
      <c r="AY68" s="377"/>
      <c r="AZ68" s="377"/>
      <c r="BA68" s="377"/>
      <c r="BB68" s="377"/>
      <c r="BC68" s="377"/>
      <c r="BD68" s="377"/>
      <c r="BE68" s="377"/>
      <c r="BF68" s="377"/>
      <c r="BG68" s="377"/>
      <c r="BH68" s="377"/>
      <c r="BI68" s="377"/>
      <c r="BJ68" s="434"/>
      <c r="BL68" s="517"/>
    </row>
    <row r="69" spans="2:64" x14ac:dyDescent="0.25">
      <c r="B69" s="541" t="s">
        <v>411</v>
      </c>
      <c r="C69" s="559"/>
      <c r="D69" s="559"/>
      <c r="E69" s="560"/>
      <c r="F69" s="646"/>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598"/>
      <c r="AG69" s="541" t="s">
        <v>411</v>
      </c>
      <c r="AH69" s="559"/>
      <c r="AI69" s="559"/>
      <c r="AJ69" s="560"/>
      <c r="AK69" s="328"/>
      <c r="AL69" s="328"/>
      <c r="AM69" s="328"/>
      <c r="AN69" s="328"/>
      <c r="AO69" s="328"/>
      <c r="AP69" s="328"/>
      <c r="AQ69" s="328"/>
      <c r="AR69" s="328"/>
      <c r="AS69" s="328"/>
      <c r="AT69" s="328"/>
      <c r="AU69" s="328"/>
      <c r="AV69" s="328"/>
      <c r="AW69" s="328"/>
      <c r="AX69" s="328"/>
      <c r="AY69" s="328"/>
      <c r="AZ69" s="328"/>
      <c r="BA69" s="328"/>
      <c r="BB69" s="328"/>
      <c r="BC69" s="328"/>
      <c r="BD69" s="328"/>
      <c r="BE69" s="328"/>
      <c r="BF69" s="328"/>
      <c r="BG69" s="328"/>
      <c r="BH69" s="328"/>
      <c r="BI69" s="328"/>
      <c r="BJ69" s="598"/>
      <c r="BL69" s="517"/>
    </row>
    <row r="70" spans="2:64" x14ac:dyDescent="0.25">
      <c r="B70" s="541"/>
      <c r="C70" s="545" t="s">
        <v>511</v>
      </c>
      <c r="D70" s="559"/>
      <c r="E70" s="560" t="s">
        <v>19</v>
      </c>
      <c r="F70" s="328">
        <f t="shared" ref="F70:AE70" si="24">F66-F61</f>
        <v>0</v>
      </c>
      <c r="G70" s="328">
        <f t="shared" si="24"/>
        <v>-14.000962115359997</v>
      </c>
      <c r="H70" s="328">
        <f t="shared" ca="1" si="24"/>
        <v>-10.20230843002034</v>
      </c>
      <c r="I70" s="328">
        <f t="shared" ca="1" si="24"/>
        <v>-6.1787364807177418</v>
      </c>
      <c r="J70" s="328">
        <f t="shared" ca="1" si="24"/>
        <v>-1.905624455733733</v>
      </c>
      <c r="K70" s="328">
        <f t="shared" ca="1" si="24"/>
        <v>2.6434786512227895</v>
      </c>
      <c r="L70" s="328">
        <f t="shared" ca="1" si="24"/>
        <v>7.4969971442714751</v>
      </c>
      <c r="M70" s="328">
        <f t="shared" ca="1" si="24"/>
        <v>12.685483502901249</v>
      </c>
      <c r="N70" s="328">
        <f t="shared" ca="1" si="24"/>
        <v>18.241784844998424</v>
      </c>
      <c r="O70" s="328">
        <f t="shared" ca="1" si="24"/>
        <v>24.20122184712833</v>
      </c>
      <c r="P70" s="328">
        <f t="shared" ca="1" si="24"/>
        <v>30.601781058924082</v>
      </c>
      <c r="Q70" s="328">
        <f t="shared" ca="1" si="24"/>
        <v>50.547128782292631</v>
      </c>
      <c r="R70" s="328">
        <f t="shared" ca="1" si="24"/>
        <v>46.498055878440084</v>
      </c>
      <c r="S70" s="328">
        <f t="shared" ca="1" si="24"/>
        <v>42.144038005059244</v>
      </c>
      <c r="T70" s="328">
        <f t="shared" ca="1" si="24"/>
        <v>37.451962788065913</v>
      </c>
      <c r="U70" s="328">
        <f t="shared" ca="1" si="24"/>
        <v>32.386181847169269</v>
      </c>
      <c r="V70" s="328">
        <f t="shared" ca="1" si="24"/>
        <v>26.908310999005032</v>
      </c>
      <c r="W70" s="328">
        <f t="shared" ca="1" si="24"/>
        <v>20.977015440760638</v>
      </c>
      <c r="X70" s="328">
        <f t="shared" ca="1" si="24"/>
        <v>14.547778782950255</v>
      </c>
      <c r="Y70" s="328">
        <f t="shared" ca="1" si="24"/>
        <v>7.5726547154457142</v>
      </c>
      <c r="Z70" s="328">
        <f t="shared" si="24"/>
        <v>0</v>
      </c>
      <c r="AA70" s="328">
        <f t="shared" si="24"/>
        <v>0</v>
      </c>
      <c r="AB70" s="328">
        <f t="shared" si="24"/>
        <v>0</v>
      </c>
      <c r="AC70" s="328">
        <f t="shared" si="24"/>
        <v>0</v>
      </c>
      <c r="AD70" s="328">
        <f t="shared" si="24"/>
        <v>0</v>
      </c>
      <c r="AE70" s="598">
        <f t="shared" si="24"/>
        <v>0</v>
      </c>
      <c r="AG70" s="541"/>
      <c r="AH70" s="545" t="s">
        <v>511</v>
      </c>
      <c r="AI70" s="559"/>
      <c r="AJ70" s="560" t="s">
        <v>19</v>
      </c>
      <c r="AK70" s="328">
        <f t="shared" ref="AK70:BJ70" si="25">AK66-AK61</f>
        <v>0</v>
      </c>
      <c r="AL70" s="328">
        <f t="shared" si="25"/>
        <v>0.27662806397999873</v>
      </c>
      <c r="AM70" s="328">
        <f t="shared" si="25"/>
        <v>20.721387619151038</v>
      </c>
      <c r="AN70" s="328">
        <f t="shared" si="25"/>
        <v>42.962157502658727</v>
      </c>
      <c r="AO70" s="328">
        <f t="shared" si="25"/>
        <v>67.283532446360582</v>
      </c>
      <c r="AP70" s="328">
        <f t="shared" si="25"/>
        <v>94.008435273715605</v>
      </c>
      <c r="AQ70" s="328">
        <f t="shared" si="25"/>
        <v>123.50338400566949</v>
      </c>
      <c r="AR70" s="328">
        <f t="shared" si="25"/>
        <v>156.18447693554342</v>
      </c>
      <c r="AS70" s="328">
        <f t="shared" si="25"/>
        <v>192.52419361147383</v>
      </c>
      <c r="AT70" s="328">
        <f t="shared" si="25"/>
        <v>233.05912301933287</v>
      </c>
      <c r="AU70" s="328">
        <f t="shared" si="25"/>
        <v>278.39874543442181</v>
      </c>
      <c r="AV70" s="328">
        <f t="shared" si="25"/>
        <v>308.45279677356876</v>
      </c>
      <c r="AW70" s="328">
        <f t="shared" si="25"/>
        <v>313.54540464547227</v>
      </c>
      <c r="AX70" s="328">
        <f t="shared" si="25"/>
        <v>318.96801757643192</v>
      </c>
      <c r="AY70" s="328">
        <f t="shared" si="25"/>
        <v>324.72727781766787</v>
      </c>
      <c r="AZ70" s="328">
        <f t="shared" si="25"/>
        <v>330.83018647882807</v>
      </c>
      <c r="BA70" s="328">
        <f t="shared" si="25"/>
        <v>314.62481731497496</v>
      </c>
      <c r="BB70" s="328">
        <f t="shared" si="25"/>
        <v>296.04463886270531</v>
      </c>
      <c r="BC70" s="328">
        <f t="shared" si="25"/>
        <v>274.68871639379495</v>
      </c>
      <c r="BD70" s="328">
        <f t="shared" si="25"/>
        <v>250.10070474456163</v>
      </c>
      <c r="BE70" s="328">
        <f t="shared" si="25"/>
        <v>221.76121026214815</v>
      </c>
      <c r="BF70" s="328">
        <f t="shared" si="25"/>
        <v>189.07911009548951</v>
      </c>
      <c r="BG70" s="328">
        <f t="shared" si="25"/>
        <v>151.38168657186333</v>
      </c>
      <c r="BH70" s="328">
        <f t="shared" si="25"/>
        <v>107.90341500059462</v>
      </c>
      <c r="BI70" s="328">
        <f t="shared" si="25"/>
        <v>57.773221200869266</v>
      </c>
      <c r="BJ70" s="598">
        <f t="shared" si="25"/>
        <v>0</v>
      </c>
    </row>
    <row r="71" spans="2:64" x14ac:dyDescent="0.25">
      <c r="B71" s="592"/>
      <c r="C71" s="559" t="s">
        <v>510</v>
      </c>
      <c r="D71" s="559"/>
      <c r="E71" s="560" t="s">
        <v>19</v>
      </c>
      <c r="F71" s="646">
        <f ca="1">SUM(F70:AE70)</f>
        <v>342.61624280680337</v>
      </c>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598"/>
      <c r="AG71" s="592"/>
      <c r="AH71" s="559" t="s">
        <v>510</v>
      </c>
      <c r="AI71" s="559"/>
      <c r="AJ71" s="560" t="s">
        <v>19</v>
      </c>
      <c r="AK71" s="37">
        <f>SUM(AK70:BJ70)</f>
        <v>4668.8032676512776</v>
      </c>
      <c r="AL71" s="328"/>
      <c r="AM71" s="328"/>
      <c r="AN71" s="328"/>
      <c r="AO71" s="328"/>
      <c r="AP71" s="328"/>
      <c r="AQ71" s="328"/>
      <c r="AR71" s="328"/>
      <c r="AS71" s="328"/>
      <c r="AT71" s="328"/>
      <c r="AU71" s="328"/>
      <c r="AV71" s="328"/>
      <c r="AW71" s="328"/>
      <c r="AX71" s="328"/>
      <c r="AY71" s="328"/>
      <c r="AZ71" s="328"/>
      <c r="BA71" s="328"/>
      <c r="BB71" s="328"/>
      <c r="BC71" s="328"/>
      <c r="BD71" s="328"/>
      <c r="BE71" s="328"/>
      <c r="BF71" s="328"/>
      <c r="BG71" s="328"/>
      <c r="BH71" s="328"/>
      <c r="BI71" s="328"/>
      <c r="BJ71" s="598"/>
    </row>
    <row r="72" spans="2:64" x14ac:dyDescent="0.25">
      <c r="B72" s="574" t="s">
        <v>507</v>
      </c>
      <c r="C72" s="537"/>
      <c r="D72" s="561"/>
      <c r="E72" s="551" t="s">
        <v>19</v>
      </c>
      <c r="F72" s="645">
        <f ca="1">NPV(F59,F70:AE70)</f>
        <v>150.49093903606084</v>
      </c>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434"/>
      <c r="AG72" s="574" t="s">
        <v>507</v>
      </c>
      <c r="AH72" s="537"/>
      <c r="AI72" s="561"/>
      <c r="AJ72" s="551" t="s">
        <v>19</v>
      </c>
      <c r="AK72" s="645">
        <f>NPV(AK59,AK70:BJ70)</f>
        <v>2085.7314634000468</v>
      </c>
      <c r="AL72" s="377"/>
      <c r="AM72" s="377"/>
      <c r="AN72" s="377"/>
      <c r="AO72" s="377"/>
      <c r="AP72" s="377"/>
      <c r="AQ72" s="377"/>
      <c r="AR72" s="377"/>
      <c r="AS72" s="377"/>
      <c r="AT72" s="377"/>
      <c r="AU72" s="377"/>
      <c r="AV72" s="377"/>
      <c r="AW72" s="377"/>
      <c r="AX72" s="377"/>
      <c r="AY72" s="377"/>
      <c r="AZ72" s="377"/>
      <c r="BA72" s="377"/>
      <c r="BB72" s="377"/>
      <c r="BC72" s="377"/>
      <c r="BD72" s="377"/>
      <c r="BE72" s="377"/>
      <c r="BF72" s="377"/>
      <c r="BG72" s="377"/>
      <c r="BH72" s="377"/>
      <c r="BI72" s="377"/>
      <c r="BJ72" s="434"/>
      <c r="BL72" s="522"/>
    </row>
    <row r="73" spans="2:64" x14ac:dyDescent="0.25">
      <c r="B73" s="574"/>
      <c r="C73" s="561" t="s">
        <v>508</v>
      </c>
      <c r="D73" s="561"/>
      <c r="E73" s="551" t="s">
        <v>19</v>
      </c>
      <c r="F73" s="645">
        <f ca="1">NPV(F59,F70:P70)</f>
        <v>28.738710099860867</v>
      </c>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434"/>
      <c r="AG73" s="574"/>
      <c r="AH73" s="561" t="s">
        <v>508</v>
      </c>
      <c r="AI73" s="561"/>
      <c r="AJ73" s="551" t="s">
        <v>19</v>
      </c>
      <c r="AK73" s="645">
        <f>NPV(AK59,AK70:AU70)</f>
        <v>750.79243048924775</v>
      </c>
      <c r="AL73" s="377"/>
      <c r="AM73" s="377"/>
      <c r="AN73" s="377"/>
      <c r="AO73" s="377"/>
      <c r="AP73" s="377"/>
      <c r="AQ73" s="377"/>
      <c r="AR73" s="377"/>
      <c r="AS73" s="377"/>
      <c r="AT73" s="377"/>
      <c r="AU73" s="377"/>
      <c r="AV73" s="377"/>
      <c r="AW73" s="377"/>
      <c r="AX73" s="377"/>
      <c r="AY73" s="377"/>
      <c r="AZ73" s="377"/>
      <c r="BA73" s="377"/>
      <c r="BB73" s="377"/>
      <c r="BC73" s="377"/>
      <c r="BD73" s="377"/>
      <c r="BE73" s="377"/>
      <c r="BF73" s="377"/>
      <c r="BG73" s="377"/>
      <c r="BH73" s="377"/>
      <c r="BI73" s="377"/>
      <c r="BJ73" s="434"/>
    </row>
    <row r="74" spans="2:64" x14ac:dyDescent="0.25">
      <c r="B74" s="593" t="s">
        <v>492</v>
      </c>
      <c r="C74" s="567"/>
      <c r="D74" s="568"/>
      <c r="E74" s="569" t="s">
        <v>19</v>
      </c>
      <c r="F74" s="647">
        <f>'CBA Sector'!E31</f>
        <v>200</v>
      </c>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600"/>
      <c r="AG74" s="593" t="s">
        <v>492</v>
      </c>
      <c r="AH74" s="567"/>
      <c r="AI74" s="568"/>
      <c r="AJ74" s="569" t="s">
        <v>19</v>
      </c>
      <c r="AK74" s="180">
        <f>'CBA Sector'!E37</f>
        <v>2203</v>
      </c>
      <c r="AL74" s="599"/>
      <c r="AM74" s="599"/>
      <c r="AN74" s="599"/>
      <c r="AO74" s="599"/>
      <c r="AP74" s="599"/>
      <c r="AQ74" s="599"/>
      <c r="AR74" s="599"/>
      <c r="AS74" s="599"/>
      <c r="AT74" s="599"/>
      <c r="AU74" s="599"/>
      <c r="AV74" s="599"/>
      <c r="AW74" s="599"/>
      <c r="AX74" s="599"/>
      <c r="AY74" s="599"/>
      <c r="AZ74" s="599"/>
      <c r="BA74" s="599"/>
      <c r="BB74" s="599"/>
      <c r="BC74" s="599"/>
      <c r="BD74" s="599"/>
      <c r="BE74" s="599"/>
      <c r="BF74" s="599"/>
      <c r="BG74" s="599"/>
      <c r="BH74" s="599"/>
      <c r="BI74" s="599"/>
      <c r="BJ74" s="600"/>
    </row>
    <row r="75" spans="2:64" x14ac:dyDescent="0.25">
      <c r="B75" s="788" t="s">
        <v>423</v>
      </c>
      <c r="C75" s="789"/>
      <c r="D75" s="790"/>
      <c r="H75" s="512"/>
      <c r="AF75" s="513"/>
      <c r="AG75" s="788" t="s">
        <v>423</v>
      </c>
      <c r="AH75" s="789"/>
      <c r="AI75" s="790"/>
      <c r="AJ75" s="553"/>
      <c r="AK75" s="648"/>
      <c r="AL75" s="649"/>
      <c r="AM75" s="650"/>
      <c r="AN75" s="649"/>
      <c r="AO75" s="649"/>
      <c r="AP75" s="649"/>
      <c r="AQ75" s="649"/>
      <c r="AR75" s="649"/>
      <c r="AS75" s="649"/>
      <c r="AT75" s="649"/>
      <c r="AU75" s="649"/>
      <c r="AV75" s="649"/>
      <c r="AW75" s="649"/>
      <c r="AX75" s="649"/>
      <c r="AY75" s="649"/>
      <c r="AZ75" s="649"/>
      <c r="BA75" s="649"/>
      <c r="BB75" s="649"/>
      <c r="BC75" s="649"/>
      <c r="BD75" s="649"/>
      <c r="BE75" s="649"/>
      <c r="BF75" s="649"/>
      <c r="BG75" s="649"/>
      <c r="BH75" s="649"/>
      <c r="BI75" s="649"/>
      <c r="BJ75" s="649"/>
    </row>
    <row r="76" spans="2:64" x14ac:dyDescent="0.25">
      <c r="B76" s="554" t="s">
        <v>93</v>
      </c>
      <c r="C76" s="555"/>
      <c r="D76" s="587"/>
      <c r="E76" s="588" t="s">
        <v>7</v>
      </c>
      <c r="F76" s="538">
        <f>'CBA Sector'!E12</f>
        <v>0.1</v>
      </c>
      <c r="G76" s="533"/>
      <c r="H76" s="533"/>
      <c r="I76" s="533"/>
      <c r="J76" s="533"/>
      <c r="K76" s="533"/>
      <c r="L76" s="533"/>
      <c r="M76" s="533"/>
      <c r="N76" s="533"/>
      <c r="O76" s="533"/>
      <c r="P76" s="533"/>
      <c r="Q76" s="533"/>
      <c r="R76" s="533"/>
      <c r="S76" s="533"/>
      <c r="T76" s="533"/>
      <c r="U76" s="533"/>
      <c r="V76" s="533"/>
      <c r="W76" s="533"/>
      <c r="X76" s="533"/>
      <c r="Y76" s="533"/>
      <c r="Z76" s="533"/>
      <c r="AA76" s="533"/>
      <c r="AB76" s="533"/>
      <c r="AC76" s="533"/>
      <c r="AD76" s="533"/>
      <c r="AE76" s="534"/>
      <c r="AG76" s="554" t="s">
        <v>93</v>
      </c>
      <c r="AH76" s="555"/>
      <c r="AI76" s="587"/>
      <c r="AJ76" s="588" t="s">
        <v>7</v>
      </c>
      <c r="AK76" s="586">
        <f>'CBA Sector'!E13</f>
        <v>0.1</v>
      </c>
      <c r="AL76" s="651"/>
      <c r="AM76" s="651"/>
      <c r="AN76" s="651"/>
      <c r="AO76" s="651"/>
      <c r="AP76" s="651"/>
      <c r="AQ76" s="651"/>
      <c r="AR76" s="651"/>
      <c r="AS76" s="651"/>
      <c r="AT76" s="651"/>
      <c r="AU76" s="651"/>
      <c r="AV76" s="651"/>
      <c r="AW76" s="651"/>
      <c r="AX76" s="651"/>
      <c r="AY76" s="651"/>
      <c r="AZ76" s="651"/>
      <c r="BA76" s="651"/>
      <c r="BB76" s="651"/>
      <c r="BC76" s="651"/>
      <c r="BD76" s="651"/>
      <c r="BE76" s="651"/>
      <c r="BF76" s="651"/>
      <c r="BG76" s="651"/>
      <c r="BH76" s="651"/>
      <c r="BI76" s="651"/>
      <c r="BJ76" s="652"/>
    </row>
    <row r="77" spans="2:64" x14ac:dyDescent="0.25">
      <c r="B77" s="541" t="s">
        <v>418</v>
      </c>
      <c r="C77" s="545"/>
      <c r="D77" s="559"/>
      <c r="E77" s="560"/>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509"/>
      <c r="AG77" s="541" t="s">
        <v>418</v>
      </c>
      <c r="AH77" s="545"/>
      <c r="AI77" s="559"/>
      <c r="AJ77" s="560"/>
      <c r="AK77" s="328"/>
      <c r="AL77" s="328"/>
      <c r="AM77" s="328"/>
      <c r="AN77" s="328"/>
      <c r="AO77" s="328"/>
      <c r="AP77" s="328"/>
      <c r="AQ77" s="328"/>
      <c r="AR77" s="328"/>
      <c r="AS77" s="328"/>
      <c r="AT77" s="328"/>
      <c r="AU77" s="328"/>
      <c r="AV77" s="328"/>
      <c r="AW77" s="328"/>
      <c r="AX77" s="328"/>
      <c r="AY77" s="328"/>
      <c r="AZ77" s="328"/>
      <c r="BA77" s="328"/>
      <c r="BB77" s="328"/>
      <c r="BC77" s="328"/>
      <c r="BD77" s="328"/>
      <c r="BE77" s="328"/>
      <c r="BF77" s="328"/>
      <c r="BG77" s="328"/>
      <c r="BH77" s="328"/>
      <c r="BI77" s="328"/>
      <c r="BJ77" s="598"/>
    </row>
    <row r="78" spans="2:64" x14ac:dyDescent="0.25">
      <c r="B78" s="576"/>
      <c r="C78" s="565" t="s">
        <v>512</v>
      </c>
      <c r="D78" s="562"/>
      <c r="E78" s="563" t="s">
        <v>500</v>
      </c>
      <c r="F78" s="112">
        <f>F79+'CBA Sector'!E53</f>
        <v>0</v>
      </c>
      <c r="G78" s="112">
        <f>G79+'CBA Sector'!F53</f>
        <v>11.22096</v>
      </c>
      <c r="H78" s="112">
        <f>H79+'CBA Sector'!G53</f>
        <v>11.321948639999999</v>
      </c>
      <c r="I78" s="112">
        <f>I79+'CBA Sector'!H53</f>
        <v>11.423846177759998</v>
      </c>
      <c r="J78" s="112">
        <f>J79+'CBA Sector'!I53</f>
        <v>11.526660793359836</v>
      </c>
      <c r="K78" s="112">
        <f>K79+'CBA Sector'!J53</f>
        <v>11.630400740500074</v>
      </c>
      <c r="L78" s="112">
        <f>L79+'CBA Sector'!K53</f>
        <v>11.735074347164574</v>
      </c>
      <c r="M78" s="112">
        <f>M79+'CBA Sector'!L53</f>
        <v>11.840690016289052</v>
      </c>
      <c r="N78" s="112">
        <f>N79+'CBA Sector'!M53</f>
        <v>11.947256226435654</v>
      </c>
      <c r="O78" s="112">
        <f>O79+'CBA Sector'!N53</f>
        <v>12.054781532473573</v>
      </c>
      <c r="P78" s="112">
        <f>P79+'CBA Sector'!O53</f>
        <v>12.163274566265832</v>
      </c>
      <c r="Q78" s="112">
        <f>Q79+'CBA Sector'!P53</f>
        <v>0</v>
      </c>
      <c r="R78" s="112">
        <f>R79+'CBA Sector'!Q53</f>
        <v>0</v>
      </c>
      <c r="S78" s="112">
        <f>S79+'CBA Sector'!R53</f>
        <v>0</v>
      </c>
      <c r="T78" s="112">
        <f>T79+'CBA Sector'!S53</f>
        <v>0</v>
      </c>
      <c r="U78" s="112">
        <f>U79+'CBA Sector'!T53</f>
        <v>0</v>
      </c>
      <c r="V78" s="112">
        <f>V79+'CBA Sector'!U53</f>
        <v>0</v>
      </c>
      <c r="W78" s="112">
        <f>W79+'CBA Sector'!V53</f>
        <v>0</v>
      </c>
      <c r="X78" s="112">
        <f>X79+'CBA Sector'!W53</f>
        <v>0</v>
      </c>
      <c r="Y78" s="112">
        <f>Y79+'CBA Sector'!X53</f>
        <v>0</v>
      </c>
      <c r="Z78" s="112">
        <f>Z79+'CBA Sector'!Y53</f>
        <v>0</v>
      </c>
      <c r="AA78" s="112">
        <f>AA79+'CBA Sector'!Z53</f>
        <v>0</v>
      </c>
      <c r="AB78" s="112">
        <f>AB79+'CBA Sector'!AA53</f>
        <v>0</v>
      </c>
      <c r="AC78" s="112">
        <f>AC79+'CBA Sector'!AB53</f>
        <v>0</v>
      </c>
      <c r="AD78" s="112">
        <f>AD79+'CBA Sector'!AC53</f>
        <v>0</v>
      </c>
      <c r="AE78" s="112">
        <f>AE79+'CBA Sector'!AD53</f>
        <v>0</v>
      </c>
      <c r="AG78" s="576"/>
      <c r="AH78" s="565" t="s">
        <v>512</v>
      </c>
      <c r="AI78" s="562"/>
      <c r="AJ78" s="563" t="s">
        <v>500</v>
      </c>
      <c r="AK78" s="112">
        <f>AK79+'CBA Sector'!E67</f>
        <v>0</v>
      </c>
      <c r="AL78" s="112">
        <f>AL79+'CBA Sector'!F67</f>
        <v>82.900216</v>
      </c>
      <c r="AM78" s="112">
        <f>AM79+'CBA Sector'!G67</f>
        <v>88.454530471999988</v>
      </c>
      <c r="AN78" s="112">
        <f>AN79+'CBA Sector'!H67</f>
        <v>94.380984013623987</v>
      </c>
      <c r="AO78" s="112">
        <f>AO79+'CBA Sector'!I67</f>
        <v>100.7045099425368</v>
      </c>
      <c r="AP78" s="112">
        <f>AP79+'CBA Sector'!J67</f>
        <v>107.45171210868675</v>
      </c>
      <c r="AQ78" s="112">
        <f>AQ79+'CBA Sector'!K67</f>
        <v>114.65097681996876</v>
      </c>
      <c r="AR78" s="112">
        <f>AR79+'CBA Sector'!L67</f>
        <v>122.33259226690666</v>
      </c>
      <c r="AS78" s="112">
        <f>AS79+'CBA Sector'!M67</f>
        <v>130.52887594878939</v>
      </c>
      <c r="AT78" s="112">
        <f>AT79+'CBA Sector'!N67</f>
        <v>139.27431063735827</v>
      </c>
      <c r="AU78" s="112">
        <f>AU79+'CBA Sector'!O67</f>
        <v>148.60568945006131</v>
      </c>
      <c r="AV78" s="112">
        <f>AV79+'CBA Sector'!P67</f>
        <v>0</v>
      </c>
      <c r="AW78" s="112">
        <f>AW79+'CBA Sector'!Q67</f>
        <v>0</v>
      </c>
      <c r="AX78" s="112">
        <f>AX79+'CBA Sector'!R67</f>
        <v>0</v>
      </c>
      <c r="AY78" s="112">
        <f>AY79+'CBA Sector'!S67</f>
        <v>0</v>
      </c>
      <c r="AZ78" s="112">
        <f>AZ79+'CBA Sector'!T67</f>
        <v>0</v>
      </c>
      <c r="BA78" s="112">
        <f>BA79+'CBA Sector'!U67</f>
        <v>0</v>
      </c>
      <c r="BB78" s="112">
        <f>BB79+'CBA Sector'!V67</f>
        <v>0</v>
      </c>
      <c r="BC78" s="112">
        <f>BC79+'CBA Sector'!W67</f>
        <v>0</v>
      </c>
      <c r="BD78" s="112">
        <f>BD79+'CBA Sector'!X67</f>
        <v>0</v>
      </c>
      <c r="BE78" s="112">
        <f>BE79+'CBA Sector'!Y67</f>
        <v>0</v>
      </c>
      <c r="BF78" s="112">
        <f>BF79+'CBA Sector'!Z67</f>
        <v>0</v>
      </c>
      <c r="BG78" s="112">
        <f>BG79+'CBA Sector'!AA67</f>
        <v>0</v>
      </c>
      <c r="BH78" s="112">
        <f>BH79+'CBA Sector'!AB67</f>
        <v>0</v>
      </c>
      <c r="BI78" s="112">
        <f>BI79+'CBA Sector'!AC67</f>
        <v>0</v>
      </c>
      <c r="BJ78" s="112">
        <f>BJ79+'CBA Sector'!AD67</f>
        <v>0</v>
      </c>
    </row>
    <row r="79" spans="2:64" x14ac:dyDescent="0.25">
      <c r="B79" s="541"/>
      <c r="C79" s="537"/>
      <c r="D79" s="572" t="s">
        <v>517</v>
      </c>
      <c r="E79" s="573" t="s">
        <v>19</v>
      </c>
      <c r="F79" s="112">
        <f t="shared" ref="F79:AE79" si="26">F4/1000000</f>
        <v>0</v>
      </c>
      <c r="G79" s="112">
        <f t="shared" si="26"/>
        <v>11.22096</v>
      </c>
      <c r="H79" s="112">
        <f t="shared" si="26"/>
        <v>11.321948639999999</v>
      </c>
      <c r="I79" s="112">
        <f t="shared" si="26"/>
        <v>11.423846177759998</v>
      </c>
      <c r="J79" s="112">
        <f t="shared" si="26"/>
        <v>11.526660793359836</v>
      </c>
      <c r="K79" s="112">
        <f t="shared" si="26"/>
        <v>11.630400740500074</v>
      </c>
      <c r="L79" s="112">
        <f t="shared" si="26"/>
        <v>11.735074347164574</v>
      </c>
      <c r="M79" s="112">
        <f t="shared" si="26"/>
        <v>11.840690016289052</v>
      </c>
      <c r="N79" s="112">
        <f t="shared" si="26"/>
        <v>11.947256226435654</v>
      </c>
      <c r="O79" s="112">
        <f t="shared" si="26"/>
        <v>12.054781532473573</v>
      </c>
      <c r="P79" s="112">
        <f t="shared" si="26"/>
        <v>12.163274566265832</v>
      </c>
      <c r="Q79" s="112">
        <f t="shared" si="26"/>
        <v>0</v>
      </c>
      <c r="R79" s="112">
        <f t="shared" si="26"/>
        <v>0</v>
      </c>
      <c r="S79" s="112">
        <f t="shared" si="26"/>
        <v>0</v>
      </c>
      <c r="T79" s="112">
        <f t="shared" si="26"/>
        <v>0</v>
      </c>
      <c r="U79" s="112">
        <f t="shared" si="26"/>
        <v>0</v>
      </c>
      <c r="V79" s="112">
        <f t="shared" si="26"/>
        <v>0</v>
      </c>
      <c r="W79" s="112">
        <f t="shared" si="26"/>
        <v>0</v>
      </c>
      <c r="X79" s="112">
        <f t="shared" si="26"/>
        <v>0</v>
      </c>
      <c r="Y79" s="112">
        <f t="shared" si="26"/>
        <v>0</v>
      </c>
      <c r="Z79" s="112">
        <f t="shared" si="26"/>
        <v>0</v>
      </c>
      <c r="AA79" s="112">
        <f t="shared" si="26"/>
        <v>0</v>
      </c>
      <c r="AB79" s="112">
        <f t="shared" si="26"/>
        <v>0</v>
      </c>
      <c r="AC79" s="112">
        <f t="shared" si="26"/>
        <v>0</v>
      </c>
      <c r="AD79" s="112">
        <f t="shared" si="26"/>
        <v>0</v>
      </c>
      <c r="AE79" s="113">
        <f t="shared" si="26"/>
        <v>0</v>
      </c>
      <c r="AF79" s="515"/>
      <c r="AG79" s="541"/>
      <c r="AH79" s="537"/>
      <c r="AI79" s="572" t="s">
        <v>517</v>
      </c>
      <c r="AJ79" s="573" t="s">
        <v>19</v>
      </c>
      <c r="AK79" s="112">
        <f t="shared" ref="AK79:BJ79" si="27">AK4/1000000</f>
        <v>0</v>
      </c>
      <c r="AL79" s="112">
        <f t="shared" si="27"/>
        <v>82.900216</v>
      </c>
      <c r="AM79" s="112">
        <f t="shared" si="27"/>
        <v>88.454530471999988</v>
      </c>
      <c r="AN79" s="112">
        <f t="shared" si="27"/>
        <v>94.380984013623987</v>
      </c>
      <c r="AO79" s="112">
        <f t="shared" si="27"/>
        <v>100.7045099425368</v>
      </c>
      <c r="AP79" s="112">
        <f t="shared" si="27"/>
        <v>107.45171210868675</v>
      </c>
      <c r="AQ79" s="112">
        <f t="shared" si="27"/>
        <v>114.65097681996876</v>
      </c>
      <c r="AR79" s="112">
        <f t="shared" si="27"/>
        <v>122.33259226690666</v>
      </c>
      <c r="AS79" s="112">
        <f t="shared" si="27"/>
        <v>130.52887594878939</v>
      </c>
      <c r="AT79" s="112">
        <f t="shared" si="27"/>
        <v>139.27431063735827</v>
      </c>
      <c r="AU79" s="112">
        <f t="shared" si="27"/>
        <v>148.60568945006131</v>
      </c>
      <c r="AV79" s="112">
        <f t="shared" si="27"/>
        <v>0</v>
      </c>
      <c r="AW79" s="112">
        <f t="shared" si="27"/>
        <v>0</v>
      </c>
      <c r="AX79" s="112">
        <f t="shared" si="27"/>
        <v>0</v>
      </c>
      <c r="AY79" s="112">
        <f t="shared" si="27"/>
        <v>0</v>
      </c>
      <c r="AZ79" s="112">
        <f t="shared" si="27"/>
        <v>0</v>
      </c>
      <c r="BA79" s="112">
        <f t="shared" si="27"/>
        <v>0</v>
      </c>
      <c r="BB79" s="112">
        <f t="shared" si="27"/>
        <v>0</v>
      </c>
      <c r="BC79" s="112">
        <f t="shared" si="27"/>
        <v>0</v>
      </c>
      <c r="BD79" s="112">
        <f t="shared" si="27"/>
        <v>0</v>
      </c>
      <c r="BE79" s="112">
        <f t="shared" si="27"/>
        <v>0</v>
      </c>
      <c r="BF79" s="112">
        <f t="shared" si="27"/>
        <v>0</v>
      </c>
      <c r="BG79" s="112">
        <f t="shared" si="27"/>
        <v>0</v>
      </c>
      <c r="BH79" s="112">
        <f t="shared" si="27"/>
        <v>0</v>
      </c>
      <c r="BI79" s="112">
        <f t="shared" si="27"/>
        <v>0</v>
      </c>
      <c r="BJ79" s="113">
        <f t="shared" si="27"/>
        <v>0</v>
      </c>
      <c r="BL79" s="515"/>
    </row>
    <row r="80" spans="2:64" x14ac:dyDescent="0.25">
      <c r="B80" s="592"/>
      <c r="C80" s="595" t="s">
        <v>422</v>
      </c>
      <c r="D80" s="559"/>
      <c r="E80" s="608" t="s">
        <v>19</v>
      </c>
      <c r="F80" s="37">
        <f>SUM(G78:AE78)</f>
        <v>116.86489304024857</v>
      </c>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598"/>
      <c r="AG80" s="592"/>
      <c r="AH80" s="595" t="s">
        <v>422</v>
      </c>
      <c r="AI80" s="559"/>
      <c r="AJ80" s="608" t="s">
        <v>19</v>
      </c>
      <c r="AK80" s="37">
        <f>SUM(AL78:BJ78)</f>
        <v>1129.284397659932</v>
      </c>
      <c r="AL80" s="328"/>
      <c r="AM80" s="328"/>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598"/>
      <c r="BL80" s="515"/>
    </row>
    <row r="81" spans="2:64" x14ac:dyDescent="0.25">
      <c r="B81" s="539" t="s">
        <v>416</v>
      </c>
      <c r="C81" s="537"/>
      <c r="D81" s="561"/>
      <c r="E81" s="551"/>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3"/>
      <c r="AF81" s="524"/>
      <c r="AG81" s="539" t="s">
        <v>416</v>
      </c>
      <c r="AH81" s="537"/>
      <c r="AI81" s="561"/>
      <c r="AJ81" s="551"/>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3"/>
      <c r="BL81" s="515"/>
    </row>
    <row r="82" spans="2:64" x14ac:dyDescent="0.25">
      <c r="B82" s="564"/>
      <c r="C82" s="577" t="s">
        <v>420</v>
      </c>
      <c r="D82" s="575"/>
      <c r="E82" s="578" t="s">
        <v>19</v>
      </c>
      <c r="F82" s="37">
        <f>SUM(F83:F84)+'CBA Sector'!E54</f>
        <v>0</v>
      </c>
      <c r="G82" s="37">
        <f ca="1">SUM(G83:G84)+'CBA Sector'!F54</f>
        <v>15.487423924277946</v>
      </c>
      <c r="H82" s="37">
        <f ca="1">SUM(H83:H84)+'CBA Sector'!G54</f>
        <v>23.187933568990587</v>
      </c>
      <c r="I82" s="37">
        <f ca="1">SUM(I83:I84)+'CBA Sector'!H54</f>
        <v>31.159209283490991</v>
      </c>
      <c r="J82" s="37">
        <f ca="1">SUM(J83:J84)+'CBA Sector'!I54</f>
        <v>39.438045600410604</v>
      </c>
      <c r="K82" s="37">
        <f ca="1">SUM(K83:K84)+'CBA Sector'!J54</f>
        <v>48.063376351318162</v>
      </c>
      <c r="L82" s="37">
        <f ca="1">SUM(L83:L84)+'CBA Sector'!K54</f>
        <v>57.076454411762512</v>
      </c>
      <c r="M82" s="37">
        <f ca="1">SUM(M83:M84)+'CBA Sector'!L54</f>
        <v>66.521043668692926</v>
      </c>
      <c r="N82" s="37">
        <f ca="1">SUM(N83:N84)+'CBA Sector'!M54</f>
        <v>76.44362413703044</v>
      </c>
      <c r="O82" s="37">
        <f ca="1">SUM(O83:O84)+'CBA Sector'!N54</f>
        <v>86.893611218499558</v>
      </c>
      <c r="P82" s="37">
        <f ca="1">SUM(P83:P84)+'CBA Sector'!O54</f>
        <v>97.92359016707961</v>
      </c>
      <c r="Q82" s="37">
        <f ca="1">SUM(Q83:Q84)+'CBA Sector'!P54</f>
        <v>80.084688406572425</v>
      </c>
      <c r="R82" s="37">
        <f ca="1">SUM(R83:R84)+'CBA Sector'!Q54</f>
        <v>73.042991346068916</v>
      </c>
      <c r="S82" s="37">
        <f ca="1">SUM(S83:S84)+'CBA Sector'!R54</f>
        <v>65.655152040965845</v>
      </c>
      <c r="T82" s="37">
        <f ca="1">SUM(T83:T84)+'CBA Sector'!S54</f>
        <v>57.875361064555612</v>
      </c>
      <c r="U82" s="37">
        <f ca="1">SUM(U83:U84)+'CBA Sector'!T54</f>
        <v>49.654884360774673</v>
      </c>
      <c r="V82" s="37">
        <f ca="1">SUM(V83:V84)+'CBA Sector'!U54</f>
        <v>40.941822460460571</v>
      </c>
      <c r="W82" s="37">
        <f ca="1">SUM(W83:W84)+'CBA Sector'!V54</f>
        <v>31.680852868248074</v>
      </c>
      <c r="X82" s="37">
        <f ca="1">SUM(X83:X84)+'CBA Sector'!W54</f>
        <v>21.812954351662032</v>
      </c>
      <c r="Y82" s="37">
        <f ca="1">SUM(Y83:Y84)+'CBA Sector'!X54</f>
        <v>11.275111772242179</v>
      </c>
      <c r="Z82" s="37">
        <f ca="1">SUM(Z83:Z84)+'CBA Sector'!Y54</f>
        <v>0</v>
      </c>
      <c r="AA82" s="37">
        <f ca="1">SUM(AA83:AA84)+'CBA Sector'!Z54</f>
        <v>0</v>
      </c>
      <c r="AB82" s="37">
        <f ca="1">SUM(AB83:AB84)+'CBA Sector'!AA54</f>
        <v>0</v>
      </c>
      <c r="AC82" s="37">
        <f ca="1">SUM(AC83:AC84)+'CBA Sector'!AB54</f>
        <v>0</v>
      </c>
      <c r="AD82" s="37">
        <f ca="1">SUM(AD83:AD84)+'CBA Sector'!AC54</f>
        <v>0</v>
      </c>
      <c r="AE82" s="37">
        <f ca="1">SUM(AE83:AE84)+'CBA Sector'!AD54</f>
        <v>0</v>
      </c>
      <c r="AF82" s="524"/>
      <c r="AG82" s="564"/>
      <c r="AH82" s="577" t="s">
        <v>420</v>
      </c>
      <c r="AI82" s="575"/>
      <c r="AJ82" s="578" t="s">
        <v>19</v>
      </c>
      <c r="AK82" s="37">
        <f>SUM(AK83:AK84)+'CBA Sector'!E68</f>
        <v>0</v>
      </c>
      <c r="AL82" s="37">
        <f ca="1">SUM(AL83:AL84)+'CBA Sector'!F68</f>
        <v>29.316671142678281</v>
      </c>
      <c r="AM82" s="37">
        <f ca="1">SUM(AM83:AM84)+'CBA Sector'!G68</f>
        <v>47.392247835278184</v>
      </c>
      <c r="AN82" s="37">
        <f ca="1">SUM(AN83:AN84)+'CBA Sector'!H68</f>
        <v>67.785744658103752</v>
      </c>
      <c r="AO82" s="37">
        <f ca="1">SUM(AO83:AO84)+'CBA Sector'!I68</f>
        <v>90.81887397653027</v>
      </c>
      <c r="AP82" s="37">
        <f ca="1">SUM(AP83:AP84)+'CBA Sector'!J68</f>
        <v>116.85612049723255</v>
      </c>
      <c r="AQ82" s="37">
        <f ca="1">SUM(AQ83:AQ84)+'CBA Sector'!K68</f>
        <v>146.31050639532202</v>
      </c>
      <c r="AR82" s="37">
        <f ca="1">SUM(AR83:AR84)+'CBA Sector'!L68</f>
        <v>179.65013375698368</v>
      </c>
      <c r="AS82" s="37">
        <f ca="1">SUM(AS83:AS84)+'CBA Sector'!M68</f>
        <v>217.4056094433671</v>
      </c>
      <c r="AT82" s="37">
        <f ca="1">SUM(AT83:AT84)+'CBA Sector'!N68</f>
        <v>260.17847170942269</v>
      </c>
      <c r="AU82" s="37">
        <f ca="1">SUM(AU83:AU84)+'CBA Sector'!O68</f>
        <v>308.65075406715147</v>
      </c>
      <c r="AV82" s="37">
        <f ca="1">SUM(AV83:AV84)+'CBA Sector'!P68</f>
        <v>297.24562767147904</v>
      </c>
      <c r="AW82" s="37">
        <f ca="1">SUM(AW83:AW84)+'CBA Sector'!Q68</f>
        <v>303.83339053652821</v>
      </c>
      <c r="AX82" s="37">
        <f ca="1">SUM(AX83:AX84)+'CBA Sector'!R68</f>
        <v>310.7524937255975</v>
      </c>
      <c r="AY82" s="37">
        <f ca="1">SUM(AY83:AY84)+'CBA Sector'!S68</f>
        <v>318.00979490932212</v>
      </c>
      <c r="AZ82" s="37">
        <f ca="1">SUM(AZ83:AZ84)+'CBA Sector'!T68</f>
        <v>325.61253685152258</v>
      </c>
      <c r="BA82" s="37">
        <f ca="1">SUM(BA83:BA84)+'CBA Sector'!U68</f>
        <v>312.53890668574934</v>
      </c>
      <c r="BB82" s="37">
        <f ca="1">SUM(BB83:BB84)+'CBA Sector'!V68</f>
        <v>296.64368465841409</v>
      </c>
      <c r="BC82" s="37">
        <f ca="1">SUM(BC83:BC84)+'CBA Sector'!W68</f>
        <v>277.48609754640762</v>
      </c>
      <c r="BD82" s="37">
        <f ca="1">SUM(BD83:BD84)+'CBA Sector'!X68</f>
        <v>254.56496707374845</v>
      </c>
      <c r="BE82" s="37">
        <f ca="1">SUM(BE83:BE84)+'CBA Sector'!Y68</f>
        <v>227.31048094002813</v>
      </c>
      <c r="BF82" s="37">
        <f ca="1">SUM(BF83:BF84)+'CBA Sector'!Z68</f>
        <v>195.07484963409016</v>
      </c>
      <c r="BG82" s="37">
        <f ca="1">SUM(BG83:BG84)+'CBA Sector'!AA68</f>
        <v>157.1216980455664</v>
      </c>
      <c r="BH82" s="37">
        <f ca="1">SUM(BH83:BH84)+'CBA Sector'!AB68</f>
        <v>112.61402042038129</v>
      </c>
      <c r="BI82" s="37">
        <f ca="1">SUM(BI83:BI84)+'CBA Sector'!AC68</f>
        <v>60.600503963865755</v>
      </c>
      <c r="BJ82" s="37">
        <f ca="1">SUM(BJ83:BJ84)+'CBA Sector'!AD68</f>
        <v>0</v>
      </c>
      <c r="BL82" s="515"/>
    </row>
    <row r="83" spans="2:64" x14ac:dyDescent="0.25">
      <c r="B83" s="539"/>
      <c r="C83" s="545"/>
      <c r="D83" s="606" t="s">
        <v>421</v>
      </c>
      <c r="E83" s="594" t="s">
        <v>19</v>
      </c>
      <c r="F83" s="37">
        <f t="shared" ref="F83:AE83" si="28">(F29)</f>
        <v>0</v>
      </c>
      <c r="G83" s="37">
        <f t="shared" ca="1" si="28"/>
        <v>7.1998129242779463</v>
      </c>
      <c r="H83" s="37">
        <f t="shared" ca="1" si="28"/>
        <v>14.626831405990586</v>
      </c>
      <c r="I83" s="37">
        <f t="shared" ca="1" si="28"/>
        <v>22.315590749111994</v>
      </c>
      <c r="J83" s="37">
        <f t="shared" ca="1" si="28"/>
        <v>30.302587654397097</v>
      </c>
      <c r="K83" s="37">
        <f t="shared" ca="1" si="28"/>
        <v>38.626448293086213</v>
      </c>
      <c r="L83" s="37">
        <f t="shared" ca="1" si="28"/>
        <v>47.328107727608909</v>
      </c>
      <c r="M83" s="37">
        <f t="shared" ca="1" si="28"/>
        <v>56.451001543962249</v>
      </c>
      <c r="N83" s="37">
        <f t="shared" ca="1" si="28"/>
        <v>66.04127062218366</v>
      </c>
      <c r="O83" s="37">
        <f t="shared" ca="1" si="28"/>
        <v>76.147980037662833</v>
      </c>
      <c r="P83" s="37">
        <f t="shared" ca="1" si="28"/>
        <v>86.823353157275278</v>
      </c>
      <c r="Q83" s="37">
        <f t="shared" ca="1" si="28"/>
        <v>80.084688406572425</v>
      </c>
      <c r="R83" s="37">
        <f t="shared" ca="1" si="28"/>
        <v>73.042991346068916</v>
      </c>
      <c r="S83" s="37">
        <f t="shared" ca="1" si="28"/>
        <v>65.655152040965845</v>
      </c>
      <c r="T83" s="37">
        <f t="shared" ca="1" si="28"/>
        <v>57.875361064555612</v>
      </c>
      <c r="U83" s="37">
        <f t="shared" ca="1" si="28"/>
        <v>49.654884360774673</v>
      </c>
      <c r="V83" s="37">
        <f t="shared" ca="1" si="28"/>
        <v>40.941822460460571</v>
      </c>
      <c r="W83" s="37">
        <f t="shared" ca="1" si="28"/>
        <v>31.680852868248074</v>
      </c>
      <c r="X83" s="37">
        <f t="shared" ca="1" si="28"/>
        <v>21.812954351662032</v>
      </c>
      <c r="Y83" s="37">
        <f t="shared" ca="1" si="28"/>
        <v>11.275111772242179</v>
      </c>
      <c r="Z83" s="37">
        <f t="shared" ca="1" si="28"/>
        <v>0</v>
      </c>
      <c r="AA83" s="37">
        <f t="shared" ca="1" si="28"/>
        <v>0</v>
      </c>
      <c r="AB83" s="37">
        <f t="shared" ca="1" si="28"/>
        <v>0</v>
      </c>
      <c r="AC83" s="37">
        <f t="shared" ca="1" si="28"/>
        <v>0</v>
      </c>
      <c r="AD83" s="37">
        <f t="shared" ca="1" si="28"/>
        <v>0</v>
      </c>
      <c r="AE83" s="38">
        <f t="shared" ca="1" si="28"/>
        <v>0</v>
      </c>
      <c r="AF83" s="524"/>
      <c r="AG83" s="539"/>
      <c r="AH83" s="545"/>
      <c r="AI83" s="606" t="s">
        <v>421</v>
      </c>
      <c r="AJ83" s="594" t="s">
        <v>19</v>
      </c>
      <c r="AK83" s="37">
        <f t="shared" ref="AK83:BJ83" si="29">(AK29)</f>
        <v>0</v>
      </c>
      <c r="AL83" s="37">
        <f t="shared" ca="1" si="29"/>
        <v>15.656702142678279</v>
      </c>
      <c r="AM83" s="37">
        <f t="shared" ca="1" si="29"/>
        <v>33.336139734278184</v>
      </c>
      <c r="AN83" s="37">
        <f t="shared" ca="1" si="29"/>
        <v>53.322009422174752</v>
      </c>
      <c r="AO83" s="37">
        <f t="shared" ca="1" si="29"/>
        <v>75.935690418759336</v>
      </c>
      <c r="AP83" s="37">
        <f t="shared" ca="1" si="29"/>
        <v>101.54132461628626</v>
      </c>
      <c r="AQ83" s="37">
        <f t="shared" ca="1" si="29"/>
        <v>130.55158143382829</v>
      </c>
      <c r="AR83" s="37">
        <f t="shared" ca="1" si="29"/>
        <v>163.43419997160663</v>
      </c>
      <c r="AS83" s="37">
        <f t="shared" ca="1" si="29"/>
        <v>200.7194135782141</v>
      </c>
      <c r="AT83" s="37">
        <f t="shared" ca="1" si="29"/>
        <v>243.00837616418028</v>
      </c>
      <c r="AU83" s="37">
        <f t="shared" ca="1" si="29"/>
        <v>290.98272575109701</v>
      </c>
      <c r="AV83" s="37">
        <f t="shared" ca="1" si="29"/>
        <v>297.24562767147904</v>
      </c>
      <c r="AW83" s="37">
        <f t="shared" ca="1" si="29"/>
        <v>303.83339053652821</v>
      </c>
      <c r="AX83" s="37">
        <f t="shared" ca="1" si="29"/>
        <v>310.7524937255975</v>
      </c>
      <c r="AY83" s="37">
        <f t="shared" ca="1" si="29"/>
        <v>318.00979490932212</v>
      </c>
      <c r="AZ83" s="37">
        <f t="shared" ca="1" si="29"/>
        <v>325.61253685152258</v>
      </c>
      <c r="BA83" s="37">
        <f t="shared" ca="1" si="29"/>
        <v>312.53890668574934</v>
      </c>
      <c r="BB83" s="37">
        <f t="shared" ca="1" si="29"/>
        <v>296.64368465841409</v>
      </c>
      <c r="BC83" s="37">
        <f t="shared" ca="1" si="29"/>
        <v>277.48609754640762</v>
      </c>
      <c r="BD83" s="37">
        <f t="shared" ca="1" si="29"/>
        <v>254.56496707374845</v>
      </c>
      <c r="BE83" s="37">
        <f t="shared" ca="1" si="29"/>
        <v>227.31048094002813</v>
      </c>
      <c r="BF83" s="37">
        <f t="shared" ca="1" si="29"/>
        <v>195.07484963409016</v>
      </c>
      <c r="BG83" s="37">
        <f t="shared" ca="1" si="29"/>
        <v>157.1216980455664</v>
      </c>
      <c r="BH83" s="37">
        <f t="shared" ca="1" si="29"/>
        <v>112.61402042038129</v>
      </c>
      <c r="BI83" s="37">
        <f t="shared" ca="1" si="29"/>
        <v>60.600503963865755</v>
      </c>
      <c r="BJ83" s="38">
        <f t="shared" ca="1" si="29"/>
        <v>0</v>
      </c>
      <c r="BL83" s="515"/>
    </row>
    <row r="84" spans="2:64" x14ac:dyDescent="0.25">
      <c r="B84" s="539"/>
      <c r="C84" s="545"/>
      <c r="D84" s="559" t="s">
        <v>522</v>
      </c>
      <c r="E84" s="560" t="s">
        <v>19</v>
      </c>
      <c r="F84" s="37">
        <f t="shared" ref="F84:AE84" si="30">F28</f>
        <v>0</v>
      </c>
      <c r="G84" s="37">
        <f t="shared" si="30"/>
        <v>8.2876110000000001</v>
      </c>
      <c r="H84" s="37">
        <f t="shared" si="30"/>
        <v>8.5611021629999993</v>
      </c>
      <c r="I84" s="37">
        <f t="shared" si="30"/>
        <v>8.8436185343789973</v>
      </c>
      <c r="J84" s="37">
        <f t="shared" si="30"/>
        <v>9.1354579460135046</v>
      </c>
      <c r="K84" s="37">
        <f t="shared" si="30"/>
        <v>9.436928058231949</v>
      </c>
      <c r="L84" s="37">
        <f t="shared" si="30"/>
        <v>9.7483466841536028</v>
      </c>
      <c r="M84" s="37">
        <f t="shared" si="30"/>
        <v>10.070042124730671</v>
      </c>
      <c r="N84" s="37">
        <f t="shared" si="30"/>
        <v>10.402353514846782</v>
      </c>
      <c r="O84" s="37">
        <f t="shared" si="30"/>
        <v>10.745631180836725</v>
      </c>
      <c r="P84" s="37">
        <f t="shared" si="30"/>
        <v>11.100237009804335</v>
      </c>
      <c r="Q84" s="37">
        <f t="shared" si="30"/>
        <v>0</v>
      </c>
      <c r="R84" s="37">
        <f t="shared" si="30"/>
        <v>0</v>
      </c>
      <c r="S84" s="37">
        <f t="shared" si="30"/>
        <v>0</v>
      </c>
      <c r="T84" s="37">
        <f t="shared" si="30"/>
        <v>0</v>
      </c>
      <c r="U84" s="37">
        <f t="shared" si="30"/>
        <v>0</v>
      </c>
      <c r="V84" s="37">
        <f t="shared" si="30"/>
        <v>0</v>
      </c>
      <c r="W84" s="37">
        <f t="shared" si="30"/>
        <v>0</v>
      </c>
      <c r="X84" s="37">
        <f t="shared" si="30"/>
        <v>0</v>
      </c>
      <c r="Y84" s="37">
        <f t="shared" si="30"/>
        <v>0</v>
      </c>
      <c r="Z84" s="37">
        <f t="shared" si="30"/>
        <v>0</v>
      </c>
      <c r="AA84" s="37">
        <f t="shared" si="30"/>
        <v>0</v>
      </c>
      <c r="AB84" s="37">
        <f t="shared" si="30"/>
        <v>0</v>
      </c>
      <c r="AC84" s="37">
        <f t="shared" si="30"/>
        <v>0</v>
      </c>
      <c r="AD84" s="37">
        <f t="shared" si="30"/>
        <v>0</v>
      </c>
      <c r="AE84" s="38">
        <f t="shared" si="30"/>
        <v>0</v>
      </c>
      <c r="AF84" s="524"/>
      <c r="AG84" s="539"/>
      <c r="AH84" s="545"/>
      <c r="AI84" s="559" t="s">
        <v>522</v>
      </c>
      <c r="AJ84" s="560" t="s">
        <v>19</v>
      </c>
      <c r="AK84" s="37">
        <f t="shared" ref="AK84:BJ84" si="31">AK28</f>
        <v>0</v>
      </c>
      <c r="AL84" s="37">
        <f t="shared" si="31"/>
        <v>13.659969</v>
      </c>
      <c r="AM84" s="37">
        <f t="shared" si="31"/>
        <v>14.056108100999998</v>
      </c>
      <c r="AN84" s="37">
        <f t="shared" si="31"/>
        <v>14.463735235928997</v>
      </c>
      <c r="AO84" s="37">
        <f t="shared" si="31"/>
        <v>14.883183557770938</v>
      </c>
      <c r="AP84" s="37">
        <f t="shared" si="31"/>
        <v>15.314795880946294</v>
      </c>
      <c r="AQ84" s="37">
        <f t="shared" si="31"/>
        <v>15.758924961493735</v>
      </c>
      <c r="AR84" s="37">
        <f t="shared" si="31"/>
        <v>16.21593378537705</v>
      </c>
      <c r="AS84" s="37">
        <f t="shared" si="31"/>
        <v>16.686195865152985</v>
      </c>
      <c r="AT84" s="37">
        <f t="shared" si="31"/>
        <v>17.170095545242422</v>
      </c>
      <c r="AU84" s="37">
        <f t="shared" si="31"/>
        <v>17.66802831605445</v>
      </c>
      <c r="AV84" s="37">
        <f t="shared" si="31"/>
        <v>0</v>
      </c>
      <c r="AW84" s="37">
        <f t="shared" si="31"/>
        <v>0</v>
      </c>
      <c r="AX84" s="37">
        <f t="shared" si="31"/>
        <v>0</v>
      </c>
      <c r="AY84" s="37">
        <f t="shared" si="31"/>
        <v>0</v>
      </c>
      <c r="AZ84" s="37">
        <f t="shared" si="31"/>
        <v>0</v>
      </c>
      <c r="BA84" s="37">
        <f t="shared" si="31"/>
        <v>0</v>
      </c>
      <c r="BB84" s="37">
        <f t="shared" si="31"/>
        <v>0</v>
      </c>
      <c r="BC84" s="37">
        <f t="shared" si="31"/>
        <v>0</v>
      </c>
      <c r="BD84" s="37">
        <f t="shared" si="31"/>
        <v>0</v>
      </c>
      <c r="BE84" s="37">
        <f t="shared" si="31"/>
        <v>0</v>
      </c>
      <c r="BF84" s="37">
        <f t="shared" si="31"/>
        <v>0</v>
      </c>
      <c r="BG84" s="37">
        <f t="shared" si="31"/>
        <v>0</v>
      </c>
      <c r="BH84" s="37">
        <f t="shared" si="31"/>
        <v>0</v>
      </c>
      <c r="BI84" s="37">
        <f t="shared" si="31"/>
        <v>0</v>
      </c>
      <c r="BJ84" s="38">
        <f t="shared" si="31"/>
        <v>0</v>
      </c>
      <c r="BL84" s="515"/>
    </row>
    <row r="85" spans="2:64" x14ac:dyDescent="0.25">
      <c r="B85" s="574"/>
      <c r="C85" s="579" t="s">
        <v>420</v>
      </c>
      <c r="D85" s="561"/>
      <c r="E85" s="607" t="s">
        <v>19</v>
      </c>
      <c r="F85" s="112">
        <f ca="1">SUM(F82:AE82)</f>
        <v>974.21813100310362</v>
      </c>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434"/>
      <c r="AG85" s="574"/>
      <c r="AH85" s="579" t="s">
        <v>420</v>
      </c>
      <c r="AI85" s="561"/>
      <c r="AJ85" s="607" t="s">
        <v>19</v>
      </c>
      <c r="AK85" s="112">
        <f ca="1">SUM(AK82:BJ82)</f>
        <v>4913.7741861447703</v>
      </c>
      <c r="AL85" s="377"/>
      <c r="AM85" s="377"/>
      <c r="AN85" s="377"/>
      <c r="AO85" s="377"/>
      <c r="AP85" s="377"/>
      <c r="AQ85" s="377"/>
      <c r="AR85" s="377"/>
      <c r="AS85" s="377"/>
      <c r="AT85" s="377"/>
      <c r="AU85" s="377"/>
      <c r="AV85" s="377"/>
      <c r="AW85" s="377"/>
      <c r="AX85" s="377"/>
      <c r="AY85" s="377"/>
      <c r="AZ85" s="377"/>
      <c r="BA85" s="377"/>
      <c r="BB85" s="377"/>
      <c r="BC85" s="377"/>
      <c r="BD85" s="377"/>
      <c r="BE85" s="377"/>
      <c r="BF85" s="377"/>
      <c r="BG85" s="377"/>
      <c r="BH85" s="377"/>
      <c r="BI85" s="377"/>
      <c r="BJ85" s="434"/>
      <c r="BL85" s="522"/>
    </row>
    <row r="86" spans="2:64" x14ac:dyDescent="0.25">
      <c r="B86" s="592" t="s">
        <v>412</v>
      </c>
      <c r="C86" s="595"/>
      <c r="D86" s="559"/>
      <c r="E86" s="596"/>
      <c r="F86" s="37"/>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598"/>
      <c r="AG86" s="592" t="s">
        <v>412</v>
      </c>
      <c r="AH86" s="595"/>
      <c r="AI86" s="559"/>
      <c r="AJ86" s="596"/>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8"/>
      <c r="BL86" s="522"/>
    </row>
    <row r="87" spans="2:64" x14ac:dyDescent="0.25">
      <c r="B87" s="541"/>
      <c r="C87" s="545" t="s">
        <v>513</v>
      </c>
      <c r="D87" s="559"/>
      <c r="E87" s="560" t="s">
        <v>19</v>
      </c>
      <c r="F87" s="37">
        <f t="shared" ref="F87:AE87" si="32">F82-F78</f>
        <v>0</v>
      </c>
      <c r="G87" s="37">
        <f t="shared" ca="1" si="32"/>
        <v>4.2664639242779465</v>
      </c>
      <c r="H87" s="37">
        <f t="shared" ca="1" si="32"/>
        <v>11.865984928990589</v>
      </c>
      <c r="I87" s="37">
        <f t="shared" ca="1" si="32"/>
        <v>19.735363105730993</v>
      </c>
      <c r="J87" s="37">
        <f t="shared" ca="1" si="32"/>
        <v>27.911384807050766</v>
      </c>
      <c r="K87" s="37">
        <f t="shared" ca="1" si="32"/>
        <v>36.43297561081809</v>
      </c>
      <c r="L87" s="37">
        <f t="shared" ca="1" si="32"/>
        <v>45.341380064597942</v>
      </c>
      <c r="M87" s="37">
        <f t="shared" ca="1" si="32"/>
        <v>54.680353652403873</v>
      </c>
      <c r="N87" s="37">
        <f t="shared" ca="1" si="32"/>
        <v>64.496367910594785</v>
      </c>
      <c r="O87" s="37">
        <f t="shared" ca="1" si="32"/>
        <v>74.838829686025989</v>
      </c>
      <c r="P87" s="37">
        <f t="shared" ca="1" si="32"/>
        <v>85.760315600813783</v>
      </c>
      <c r="Q87" s="37">
        <f t="shared" ca="1" si="32"/>
        <v>80.084688406572425</v>
      </c>
      <c r="R87" s="37">
        <f t="shared" ca="1" si="32"/>
        <v>73.042991346068916</v>
      </c>
      <c r="S87" s="37">
        <f t="shared" ca="1" si="32"/>
        <v>65.655152040965845</v>
      </c>
      <c r="T87" s="37">
        <f t="shared" ca="1" si="32"/>
        <v>57.875361064555612</v>
      </c>
      <c r="U87" s="37">
        <f t="shared" ca="1" si="32"/>
        <v>49.654884360774673</v>
      </c>
      <c r="V87" s="37">
        <f t="shared" ca="1" si="32"/>
        <v>40.941822460460571</v>
      </c>
      <c r="W87" s="37">
        <f t="shared" ca="1" si="32"/>
        <v>31.680852868248074</v>
      </c>
      <c r="X87" s="37">
        <f t="shared" ca="1" si="32"/>
        <v>21.812954351662032</v>
      </c>
      <c r="Y87" s="37">
        <f t="shared" ca="1" si="32"/>
        <v>11.275111772242179</v>
      </c>
      <c r="Z87" s="37">
        <f t="shared" ca="1" si="32"/>
        <v>0</v>
      </c>
      <c r="AA87" s="37">
        <f t="shared" ca="1" si="32"/>
        <v>0</v>
      </c>
      <c r="AB87" s="37">
        <f t="shared" ca="1" si="32"/>
        <v>0</v>
      </c>
      <c r="AC87" s="37">
        <f t="shared" ca="1" si="32"/>
        <v>0</v>
      </c>
      <c r="AD87" s="37">
        <f t="shared" ca="1" si="32"/>
        <v>0</v>
      </c>
      <c r="AE87" s="38">
        <f t="shared" ca="1" si="32"/>
        <v>0</v>
      </c>
      <c r="AG87" s="541"/>
      <c r="AH87" s="545" t="s">
        <v>513</v>
      </c>
      <c r="AI87" s="559"/>
      <c r="AJ87" s="560" t="s">
        <v>19</v>
      </c>
      <c r="AK87" s="37">
        <f t="shared" ref="AK87:BJ87" si="33">AK82-AK78</f>
        <v>0</v>
      </c>
      <c r="AL87" s="37">
        <f t="shared" ca="1" si="33"/>
        <v>-53.583544857321719</v>
      </c>
      <c r="AM87" s="37">
        <f t="shared" ca="1" si="33"/>
        <v>-41.062282636721804</v>
      </c>
      <c r="AN87" s="37">
        <f t="shared" ca="1" si="33"/>
        <v>-26.595239355520235</v>
      </c>
      <c r="AO87" s="37">
        <f t="shared" ca="1" si="33"/>
        <v>-9.8856359660065323</v>
      </c>
      <c r="AP87" s="37">
        <f t="shared" ca="1" si="33"/>
        <v>9.4044083885458036</v>
      </c>
      <c r="AQ87" s="37">
        <f t="shared" ca="1" si="33"/>
        <v>31.659529575353261</v>
      </c>
      <c r="AR87" s="37">
        <f t="shared" ca="1" si="33"/>
        <v>57.317541490077019</v>
      </c>
      <c r="AS87" s="37">
        <f t="shared" ca="1" si="33"/>
        <v>86.876733494577707</v>
      </c>
      <c r="AT87" s="37">
        <f t="shared" ca="1" si="33"/>
        <v>120.90416107206443</v>
      </c>
      <c r="AU87" s="37">
        <f t="shared" ca="1" si="33"/>
        <v>160.04506461709016</v>
      </c>
      <c r="AV87" s="37">
        <f t="shared" ca="1" si="33"/>
        <v>297.24562767147904</v>
      </c>
      <c r="AW87" s="37">
        <f t="shared" ca="1" si="33"/>
        <v>303.83339053652821</v>
      </c>
      <c r="AX87" s="37">
        <f t="shared" ca="1" si="33"/>
        <v>310.7524937255975</v>
      </c>
      <c r="AY87" s="37">
        <f t="shared" ca="1" si="33"/>
        <v>318.00979490932212</v>
      </c>
      <c r="AZ87" s="37">
        <f t="shared" ca="1" si="33"/>
        <v>325.61253685152258</v>
      </c>
      <c r="BA87" s="37">
        <f t="shared" ca="1" si="33"/>
        <v>312.53890668574934</v>
      </c>
      <c r="BB87" s="37">
        <f t="shared" ca="1" si="33"/>
        <v>296.64368465841409</v>
      </c>
      <c r="BC87" s="37">
        <f t="shared" ca="1" si="33"/>
        <v>277.48609754640762</v>
      </c>
      <c r="BD87" s="37">
        <f t="shared" ca="1" si="33"/>
        <v>254.56496707374845</v>
      </c>
      <c r="BE87" s="37">
        <f t="shared" ca="1" si="33"/>
        <v>227.31048094002813</v>
      </c>
      <c r="BF87" s="37">
        <f t="shared" ca="1" si="33"/>
        <v>195.07484963409016</v>
      </c>
      <c r="BG87" s="37">
        <f t="shared" ca="1" si="33"/>
        <v>157.1216980455664</v>
      </c>
      <c r="BH87" s="37">
        <f t="shared" ca="1" si="33"/>
        <v>112.61402042038129</v>
      </c>
      <c r="BI87" s="37">
        <f t="shared" ca="1" si="33"/>
        <v>60.600503963865755</v>
      </c>
      <c r="BJ87" s="38">
        <f t="shared" ca="1" si="33"/>
        <v>0</v>
      </c>
      <c r="BL87" s="522"/>
    </row>
    <row r="88" spans="2:64" x14ac:dyDescent="0.25">
      <c r="B88" s="541"/>
      <c r="C88" s="559" t="s">
        <v>412</v>
      </c>
      <c r="D88" s="559"/>
      <c r="E88" s="560" t="s">
        <v>19</v>
      </c>
      <c r="F88" s="37">
        <f ca="1">F85-F80</f>
        <v>857.35323796285502</v>
      </c>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598"/>
      <c r="AG88" s="541"/>
      <c r="AH88" s="559" t="s">
        <v>412</v>
      </c>
      <c r="AI88" s="559"/>
      <c r="AJ88" s="560" t="s">
        <v>19</v>
      </c>
      <c r="AK88" s="37">
        <f ca="1">AK85-AK80</f>
        <v>3784.4897884848383</v>
      </c>
      <c r="AL88" s="328"/>
      <c r="AM88" s="328"/>
      <c r="AN88" s="328"/>
      <c r="AO88" s="328"/>
      <c r="AP88" s="328"/>
      <c r="AQ88" s="328"/>
      <c r="AR88" s="328"/>
      <c r="AS88" s="328"/>
      <c r="AT88" s="328"/>
      <c r="AU88" s="328"/>
      <c r="AV88" s="328"/>
      <c r="AW88" s="328"/>
      <c r="AX88" s="328"/>
      <c r="AY88" s="328"/>
      <c r="AZ88" s="328"/>
      <c r="BA88" s="328"/>
      <c r="BB88" s="328"/>
      <c r="BC88" s="328"/>
      <c r="BD88" s="328"/>
      <c r="BE88" s="328"/>
      <c r="BF88" s="328"/>
      <c r="BG88" s="328"/>
      <c r="BH88" s="328"/>
      <c r="BI88" s="328"/>
      <c r="BJ88" s="598"/>
      <c r="BL88" s="522"/>
    </row>
    <row r="89" spans="2:64" x14ac:dyDescent="0.25">
      <c r="B89" s="574" t="s">
        <v>507</v>
      </c>
      <c r="C89" s="561"/>
      <c r="D89" s="561"/>
      <c r="E89" s="551" t="s">
        <v>19</v>
      </c>
      <c r="F89" s="645">
        <f ca="1">NPV(F76,F87:AE87)</f>
        <v>306.52424261019428</v>
      </c>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434"/>
      <c r="AG89" s="574" t="s">
        <v>507</v>
      </c>
      <c r="AH89" s="561"/>
      <c r="AI89" s="561"/>
      <c r="AJ89" s="551" t="s">
        <v>19</v>
      </c>
      <c r="AK89" s="112">
        <f ca="1">NPV(AK76,AK87:BJ87)</f>
        <v>787.60599123449367</v>
      </c>
      <c r="AL89" s="377"/>
      <c r="AM89" s="377"/>
      <c r="AN89" s="377"/>
      <c r="AO89" s="377"/>
      <c r="AP89" s="377"/>
      <c r="AQ89" s="377"/>
      <c r="AR89" s="377"/>
      <c r="AS89" s="377"/>
      <c r="AT89" s="377"/>
      <c r="AU89" s="377"/>
      <c r="AV89" s="377"/>
      <c r="AW89" s="377"/>
      <c r="AX89" s="377"/>
      <c r="AY89" s="377"/>
      <c r="AZ89" s="377"/>
      <c r="BA89" s="377"/>
      <c r="BB89" s="377"/>
      <c r="BC89" s="377"/>
      <c r="BD89" s="377"/>
      <c r="BE89" s="377"/>
      <c r="BF89" s="377"/>
      <c r="BG89" s="377"/>
      <c r="BH89" s="377"/>
      <c r="BI89" s="377"/>
      <c r="BJ89" s="434"/>
      <c r="BL89" s="522"/>
    </row>
    <row r="90" spans="2:64" x14ac:dyDescent="0.25">
      <c r="B90" s="539"/>
      <c r="C90" s="561" t="s">
        <v>490</v>
      </c>
      <c r="D90" s="561"/>
      <c r="E90" s="551" t="s">
        <v>19</v>
      </c>
      <c r="F90" s="645">
        <f ca="1">NPV(F76,F87:P87)</f>
        <v>198.85776864246608</v>
      </c>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434"/>
      <c r="AG90" s="539"/>
      <c r="AH90" s="561" t="s">
        <v>490</v>
      </c>
      <c r="AI90" s="561"/>
      <c r="AJ90" s="551" t="s">
        <v>19</v>
      </c>
      <c r="AK90" s="112">
        <f ca="1">NPV(AK76,AK87:AU87)</f>
        <v>88.409036062108484</v>
      </c>
      <c r="AL90" s="377"/>
      <c r="AM90" s="377"/>
      <c r="AN90" s="377"/>
      <c r="AO90" s="377"/>
      <c r="AP90" s="377"/>
      <c r="AQ90" s="377"/>
      <c r="AR90" s="377"/>
      <c r="AS90" s="377"/>
      <c r="AT90" s="377"/>
      <c r="AU90" s="377"/>
      <c r="AV90" s="377"/>
      <c r="AW90" s="377"/>
      <c r="AX90" s="377"/>
      <c r="AY90" s="377"/>
      <c r="AZ90" s="377"/>
      <c r="BA90" s="377"/>
      <c r="BB90" s="377"/>
      <c r="BC90" s="377"/>
      <c r="BD90" s="377"/>
      <c r="BE90" s="377"/>
      <c r="BF90" s="377"/>
      <c r="BG90" s="377"/>
      <c r="BH90" s="377"/>
      <c r="BI90" s="377"/>
      <c r="BJ90" s="434"/>
      <c r="BL90" s="522"/>
    </row>
    <row r="91" spans="2:64" x14ac:dyDescent="0.25">
      <c r="B91" s="566" t="s">
        <v>492</v>
      </c>
      <c r="C91" s="568"/>
      <c r="D91" s="568"/>
      <c r="E91" s="569" t="s">
        <v>19</v>
      </c>
      <c r="F91" s="180">
        <f>'CBA Sector'!E32</f>
        <v>528</v>
      </c>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600"/>
      <c r="AG91" s="566" t="s">
        <v>492</v>
      </c>
      <c r="AH91" s="568"/>
      <c r="AI91" s="568"/>
      <c r="AJ91" s="569" t="s">
        <v>19</v>
      </c>
      <c r="AK91" s="180">
        <f>'CBA Sector'!E38</f>
        <v>1794</v>
      </c>
      <c r="AL91" s="599"/>
      <c r="AM91" s="599"/>
      <c r="AN91" s="599"/>
      <c r="AO91" s="599"/>
      <c r="AP91" s="599"/>
      <c r="AQ91" s="599"/>
      <c r="AR91" s="599"/>
      <c r="AS91" s="599"/>
      <c r="AT91" s="599"/>
      <c r="AU91" s="599"/>
      <c r="AV91" s="599"/>
      <c r="AW91" s="599"/>
      <c r="AX91" s="599"/>
      <c r="AY91" s="599"/>
      <c r="AZ91" s="599"/>
      <c r="BA91" s="599"/>
      <c r="BB91" s="599"/>
      <c r="BC91" s="599"/>
      <c r="BD91" s="599"/>
      <c r="BE91" s="599"/>
      <c r="BF91" s="599"/>
      <c r="BG91" s="599"/>
      <c r="BH91" s="599"/>
      <c r="BI91" s="599"/>
      <c r="BJ91" s="600"/>
    </row>
    <row r="92" spans="2:64" x14ac:dyDescent="0.25">
      <c r="B92" s="570"/>
      <c r="C92" s="570"/>
      <c r="E92" s="591"/>
      <c r="F92" s="521"/>
    </row>
    <row r="93" spans="2:64" ht="21" x14ac:dyDescent="0.35">
      <c r="B93" s="791" t="s">
        <v>226</v>
      </c>
      <c r="C93" s="792"/>
      <c r="D93" s="793"/>
      <c r="AG93" s="791" t="s">
        <v>226</v>
      </c>
      <c r="AH93" s="792"/>
      <c r="AI93" s="793"/>
    </row>
    <row r="94" spans="2:64" x14ac:dyDescent="0.25">
      <c r="B94" s="601"/>
      <c r="C94" s="602"/>
      <c r="D94" s="602"/>
      <c r="E94" s="603" t="s">
        <v>4</v>
      </c>
      <c r="F94" s="604" t="s">
        <v>425</v>
      </c>
      <c r="G94" s="604" t="s">
        <v>424</v>
      </c>
      <c r="H94" s="604" t="s">
        <v>419</v>
      </c>
      <c r="I94" s="605" t="s">
        <v>423</v>
      </c>
      <c r="AG94" s="601"/>
      <c r="AH94" s="602"/>
      <c r="AI94" s="602"/>
      <c r="AJ94" s="603" t="s">
        <v>4</v>
      </c>
      <c r="AK94" s="604" t="s">
        <v>425</v>
      </c>
      <c r="AL94" s="604" t="s">
        <v>424</v>
      </c>
      <c r="AM94" s="604" t="s">
        <v>419</v>
      </c>
      <c r="AN94" s="605" t="s">
        <v>423</v>
      </c>
    </row>
    <row r="95" spans="2:64" x14ac:dyDescent="0.25">
      <c r="B95" s="574" t="s">
        <v>514</v>
      </c>
      <c r="C95" s="561"/>
      <c r="D95" s="561"/>
      <c r="E95" s="551"/>
      <c r="F95" s="11"/>
      <c r="G95" s="11"/>
      <c r="H95" s="11"/>
      <c r="I95" s="20"/>
      <c r="AG95" s="574" t="s">
        <v>514</v>
      </c>
      <c r="AH95" s="561"/>
      <c r="AI95" s="561"/>
      <c r="AJ95" s="11"/>
      <c r="AK95" s="11"/>
      <c r="AL95" s="11"/>
      <c r="AM95" s="11"/>
      <c r="AN95" s="20"/>
    </row>
    <row r="96" spans="2:64" x14ac:dyDescent="0.25">
      <c r="B96" s="574"/>
      <c r="C96" s="561" t="s">
        <v>490</v>
      </c>
      <c r="D96" s="561"/>
      <c r="E96" s="551" t="s">
        <v>500</v>
      </c>
      <c r="F96" s="377">
        <f ca="1">F39</f>
        <v>-255.89398155257263</v>
      </c>
      <c r="G96" s="377">
        <f ca="1">F56</f>
        <v>13.646397762877701</v>
      </c>
      <c r="H96" s="377">
        <f ca="1">F73</f>
        <v>28.738710099860867</v>
      </c>
      <c r="I96" s="434">
        <f ca="1">F90</f>
        <v>198.85776864246608</v>
      </c>
      <c r="AG96" s="574"/>
      <c r="AH96" s="561" t="s">
        <v>490</v>
      </c>
      <c r="AI96" s="561"/>
      <c r="AJ96" s="11"/>
      <c r="AK96" s="377">
        <f ca="1">AK39</f>
        <v>-71.288925354154756</v>
      </c>
      <c r="AL96" s="377">
        <f>AK56</f>
        <v>89.218708551208834</v>
      </c>
      <c r="AM96" s="377">
        <f>AK73</f>
        <v>750.79243048924775</v>
      </c>
      <c r="AN96" s="434">
        <f ca="1">AK90</f>
        <v>88.409036062108484</v>
      </c>
    </row>
    <row r="97" spans="2:40" x14ac:dyDescent="0.25">
      <c r="B97" s="574"/>
      <c r="C97" s="561" t="s">
        <v>491</v>
      </c>
      <c r="D97" s="561"/>
      <c r="E97" s="551" t="s">
        <v>19</v>
      </c>
      <c r="F97" s="377">
        <f ca="1">F38</f>
        <v>-323.06422086175985</v>
      </c>
      <c r="G97" s="377">
        <f ca="1">F55</f>
        <v>135.39862669907765</v>
      </c>
      <c r="H97" s="377">
        <f ca="1">F72</f>
        <v>150.49093903606084</v>
      </c>
      <c r="I97" s="434">
        <f ca="1">F89</f>
        <v>306.52424261019428</v>
      </c>
      <c r="AG97" s="574"/>
      <c r="AH97" s="561" t="s">
        <v>491</v>
      </c>
      <c r="AI97" s="561"/>
      <c r="AJ97" s="11"/>
      <c r="AK97" s="377">
        <f ca="1">AK38</f>
        <v>-60.924926486388671</v>
      </c>
      <c r="AL97" s="377">
        <f>AK55</f>
        <v>1424.1577414620078</v>
      </c>
      <c r="AM97" s="377">
        <f>AK72</f>
        <v>2085.7314634000468</v>
      </c>
      <c r="AN97" s="434">
        <f ca="1">AK89</f>
        <v>787.60599123449367</v>
      </c>
    </row>
    <row r="98" spans="2:40" x14ac:dyDescent="0.25">
      <c r="B98" s="574"/>
      <c r="C98" s="561" t="s">
        <v>492</v>
      </c>
      <c r="D98" s="561"/>
      <c r="E98" s="551" t="s">
        <v>19</v>
      </c>
      <c r="F98" s="377">
        <f>F40</f>
        <v>-343</v>
      </c>
      <c r="G98" s="377">
        <f>F57</f>
        <v>184</v>
      </c>
      <c r="H98" s="377">
        <f>F74</f>
        <v>200</v>
      </c>
      <c r="I98" s="434">
        <f>F91</f>
        <v>528</v>
      </c>
      <c r="AG98" s="574"/>
      <c r="AH98" s="561" t="s">
        <v>492</v>
      </c>
      <c r="AI98" s="561"/>
      <c r="AJ98" s="11"/>
      <c r="AK98" s="377">
        <f>AK40</f>
        <v>-345</v>
      </c>
      <c r="AL98" s="377">
        <f>AK57</f>
        <v>1448</v>
      </c>
      <c r="AM98" s="377">
        <f>AK74</f>
        <v>2203</v>
      </c>
      <c r="AN98" s="434">
        <f>AK91</f>
        <v>1794</v>
      </c>
    </row>
    <row r="99" spans="2:40" x14ac:dyDescent="0.25">
      <c r="B99" s="592" t="s">
        <v>515</v>
      </c>
      <c r="C99" s="559"/>
      <c r="D99" s="559"/>
      <c r="E99" s="560"/>
      <c r="F99" s="5"/>
      <c r="G99" s="5"/>
      <c r="H99" s="5"/>
      <c r="I99" s="167"/>
      <c r="AG99" s="592" t="s">
        <v>515</v>
      </c>
      <c r="AH99" s="559"/>
      <c r="AI99" s="559"/>
      <c r="AJ99" s="5"/>
      <c r="AK99" s="5"/>
      <c r="AL99" s="5"/>
      <c r="AM99" s="5"/>
      <c r="AN99" s="167"/>
    </row>
    <row r="100" spans="2:40" x14ac:dyDescent="0.25">
      <c r="B100" s="592"/>
      <c r="C100" s="559" t="s">
        <v>418</v>
      </c>
      <c r="D100" s="559"/>
      <c r="E100" s="560" t="s">
        <v>19</v>
      </c>
      <c r="F100" s="328">
        <f ca="1">F30*-1</f>
        <v>-1086.0216977701443</v>
      </c>
      <c r="G100" s="328">
        <f>F47*-1</f>
        <v>-228.66845980728937</v>
      </c>
      <c r="H100" s="328">
        <f>F64*-1</f>
        <v>-208.13489498303738</v>
      </c>
      <c r="I100" s="598">
        <f>F80*-1</f>
        <v>-116.86489304024857</v>
      </c>
      <c r="AG100" s="592"/>
      <c r="AH100" s="559" t="s">
        <v>418</v>
      </c>
      <c r="AI100" s="559"/>
      <c r="AJ100" s="5"/>
      <c r="AK100" s="328">
        <f ca="1">AK30*-1</f>
        <v>-4979.0738396773668</v>
      </c>
      <c r="AL100" s="328">
        <f>AK47*-1</f>
        <v>-1194.5840511925285</v>
      </c>
      <c r="AM100" s="328">
        <f>AK64*-1</f>
        <v>-221.17662378156336</v>
      </c>
      <c r="AN100" s="598">
        <f>AK80*-1</f>
        <v>-1129.284397659932</v>
      </c>
    </row>
    <row r="101" spans="2:40" x14ac:dyDescent="0.25">
      <c r="B101" s="593"/>
      <c r="C101" s="568" t="s">
        <v>416</v>
      </c>
      <c r="D101" s="568"/>
      <c r="E101" s="569" t="s">
        <v>19</v>
      </c>
      <c r="F101" s="599">
        <f ca="1">F34</f>
        <v>550.75113778984064</v>
      </c>
      <c r="G101" s="599">
        <f ca="1">F51</f>
        <v>550.75113778984064</v>
      </c>
      <c r="H101" s="599">
        <f ca="1">F68</f>
        <v>550.75113778984064</v>
      </c>
      <c r="I101" s="600">
        <f ca="1">F85</f>
        <v>974.21813100310362</v>
      </c>
      <c r="AG101" s="593"/>
      <c r="AH101" s="568" t="s">
        <v>416</v>
      </c>
      <c r="AI101" s="568"/>
      <c r="AJ101" s="7"/>
      <c r="AK101" s="599">
        <f>AK34</f>
        <v>4889.9798914328412</v>
      </c>
      <c r="AL101" s="599">
        <f>AK51</f>
        <v>4889.9798914328412</v>
      </c>
      <c r="AM101" s="599">
        <f>AK68</f>
        <v>4889.9798914328412</v>
      </c>
      <c r="AN101" s="600">
        <f ca="1">AK85</f>
        <v>4913.7741861447703</v>
      </c>
    </row>
    <row r="102" spans="2:40" x14ac:dyDescent="0.25">
      <c r="B102" s="546" t="s">
        <v>556</v>
      </c>
      <c r="E102" s="553" t="s">
        <v>7</v>
      </c>
      <c r="F102" s="679">
        <f ca="1">(F97-F98)/F98</f>
        <v>-5.8121805067755543E-2</v>
      </c>
      <c r="G102" s="679">
        <f t="shared" ref="G102:I102" ca="1" si="34">(G97-G98)/G98</f>
        <v>-0.26413789837457796</v>
      </c>
      <c r="H102" s="679">
        <f t="shared" ca="1" si="34"/>
        <v>-0.24754530481969581</v>
      </c>
      <c r="I102" s="679">
        <f t="shared" ca="1" si="34"/>
        <v>-0.41946166172311689</v>
      </c>
      <c r="AG102" s="546" t="s">
        <v>556</v>
      </c>
      <c r="AH102" s="546"/>
      <c r="AI102" s="546"/>
      <c r="AJ102" s="553" t="s">
        <v>7</v>
      </c>
      <c r="AK102" s="679">
        <f ca="1">(AK97-AK98)/AK98</f>
        <v>-0.82340601018438053</v>
      </c>
      <c r="AL102" s="679">
        <f t="shared" ref="AL102:AN102" si="35">(AL97-AL98)/AL98</f>
        <v>-1.6465648161596798E-2</v>
      </c>
      <c r="AM102" s="679">
        <f t="shared" si="35"/>
        <v>-5.323129214705094E-2</v>
      </c>
      <c r="AN102" s="679">
        <f t="shared" ca="1" si="35"/>
        <v>-0.5609777083419768</v>
      </c>
    </row>
    <row r="103" spans="2:40" x14ac:dyDescent="0.25">
      <c r="G103" s="531"/>
      <c r="H103" s="531"/>
      <c r="I103" s="531"/>
    </row>
    <row r="104" spans="2:40" x14ac:dyDescent="0.25">
      <c r="G104" s="531"/>
      <c r="H104" s="531"/>
      <c r="I104" s="531"/>
    </row>
    <row r="105" spans="2:40" x14ac:dyDescent="0.25">
      <c r="G105" s="531"/>
      <c r="H105" s="531"/>
      <c r="I105" s="531"/>
    </row>
    <row r="106" spans="2:40" x14ac:dyDescent="0.25">
      <c r="G106" s="531"/>
      <c r="H106" s="531"/>
      <c r="I106" s="531"/>
    </row>
  </sheetData>
  <mergeCells count="14">
    <mergeCell ref="AG2:AI2"/>
    <mergeCell ref="B75:D75"/>
    <mergeCell ref="B93:D93"/>
    <mergeCell ref="AG22:AI22"/>
    <mergeCell ref="AG23:AI23"/>
    <mergeCell ref="AG41:AI41"/>
    <mergeCell ref="AG58:AI58"/>
    <mergeCell ref="AG75:AI75"/>
    <mergeCell ref="AG93:AI93"/>
    <mergeCell ref="B2:D2"/>
    <mergeCell ref="B22:D22"/>
    <mergeCell ref="B41:D41"/>
    <mergeCell ref="B23:D23"/>
    <mergeCell ref="B58:D58"/>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vt:lpstr>
      <vt:lpstr>Customer Sector</vt:lpstr>
      <vt:lpstr>Customer Calc</vt:lpstr>
      <vt:lpstr>Customer Outputs</vt:lpstr>
      <vt:lpstr>Utility Sector</vt:lpstr>
      <vt:lpstr>Utility Calc</vt:lpstr>
      <vt:lpstr>Utility Outputs</vt:lpstr>
      <vt:lpstr>CBA Sector</vt:lpstr>
      <vt:lpstr>CBA Calc</vt:lpstr>
      <vt:lpstr>CBA Outputs</vt:lpstr>
    </vt:vector>
  </TitlesOfParts>
  <Manager>Dr Marilyn Brown</Manager>
  <Company>Georgia Tech</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GT-DSM</dc:title>
  <dc:subject>Impacts of DSM programs</dc:subject>
  <dc:creator>Benjamin Staver</dc:creator>
  <cp:lastModifiedBy>Hyman, Elizabeth Ruth</cp:lastModifiedBy>
  <dcterms:created xsi:type="dcterms:W3CDTF">2013-07-05T16:46:32Z</dcterms:created>
  <dcterms:modified xsi:type="dcterms:W3CDTF">2014-10-03T19:24:06Z</dcterms:modified>
</cp:coreProperties>
</file>